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trlProps/ctrlProp23.xml" ContentType="application/vnd.ms-excel.controlproperties+xml"/>
  <Override PartName="/xl/ctrlProps/ctrlProp24.xml" ContentType="application/vnd.ms-excel.controlproperties+xml"/>
  <Override PartName="/xl/comments12.xml" ContentType="application/vnd.openxmlformats-officedocument.spreadsheetml.comments+xml"/>
  <Override PartName="/xl/drawings/drawing13.xml" ContentType="application/vnd.openxmlformats-officedocument.drawing+xml"/>
  <Override PartName="/xl/ctrlProps/ctrlProp25.xml" ContentType="application/vnd.ms-excel.controlproperties+xml"/>
  <Override PartName="/xl/ctrlProps/ctrlProp26.xml" ContentType="application/vnd.ms-excel.controlproperties+xml"/>
  <Override PartName="/xl/comments13.xml" ContentType="application/vnd.openxmlformats-officedocument.spreadsheetml.comments+xml"/>
  <Override PartName="/xl/drawings/drawing14.xml" ContentType="application/vnd.openxmlformats-officedocument.drawing+xml"/>
  <Override PartName="/xl/ctrlProps/ctrlProp27.xml" ContentType="application/vnd.ms-excel.controlproperties+xml"/>
  <Override PartName="/xl/ctrlProps/ctrlProp28.xml" ContentType="application/vnd.ms-excel.controlproperties+xml"/>
  <Override PartName="/xl/comments14.xml" ContentType="application/vnd.openxmlformats-officedocument.spreadsheetml.comments+xml"/>
  <Override PartName="/xl/drawings/drawing15.xml" ContentType="application/vnd.openxmlformats-officedocument.drawing+xml"/>
  <Override PartName="/xl/ctrlProps/ctrlProp29.xml" ContentType="application/vnd.ms-excel.controlproperties+xml"/>
  <Override PartName="/xl/ctrlProps/ctrlProp30.xml" ContentType="application/vnd.ms-excel.controlproperties+xml"/>
  <Override PartName="/xl/comments15.xml" ContentType="application/vnd.openxmlformats-officedocument.spreadsheetml.comments+xml"/>
  <Override PartName="/xl/drawings/drawing16.xml" ContentType="application/vnd.openxmlformats-officedocument.drawing+xml"/>
  <Override PartName="/xl/ctrlProps/ctrlProp31.xml" ContentType="application/vnd.ms-excel.controlproperties+xml"/>
  <Override PartName="/xl/ctrlProps/ctrlProp32.xml" ContentType="application/vnd.ms-excel.controlproperties+xml"/>
  <Override PartName="/xl/comments16.xml" ContentType="application/vnd.openxmlformats-officedocument.spreadsheetml.comments+xml"/>
  <Override PartName="/xl/drawings/drawing17.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17.xml" ContentType="application/vnd.openxmlformats-officedocument.spreadsheetml.comments+xml"/>
  <Override PartName="/xl/drawings/drawing18.xml" ContentType="application/vnd.openxmlformats-officedocument.drawing+xml"/>
  <Override PartName="/xl/ctrlProps/ctrlProp35.xml" ContentType="application/vnd.ms-excel.controlproperties+xml"/>
  <Override PartName="/xl/ctrlProps/ctrlProp36.xml" ContentType="application/vnd.ms-excel.controlproperties+xml"/>
  <Override PartName="/xl/comments18.xml" ContentType="application/vnd.openxmlformats-officedocument.spreadsheetml.comments+xml"/>
  <Override PartName="/xl/drawings/drawing19.xml" ContentType="application/vnd.openxmlformats-officedocument.drawing+xml"/>
  <Override PartName="/xl/ctrlProps/ctrlProp37.xml" ContentType="application/vnd.ms-excel.controlproperties+xml"/>
  <Override PartName="/xl/ctrlProps/ctrlProp38.xml" ContentType="application/vnd.ms-excel.controlproperties+xml"/>
  <Override PartName="/xl/comments19.xml" ContentType="application/vnd.openxmlformats-officedocument.spreadsheetml.comments+xml"/>
  <Override PartName="/xl/drawings/drawing20.xml" ContentType="application/vnd.openxmlformats-officedocument.drawing+xml"/>
  <Override PartName="/xl/ctrlProps/ctrlProp39.xml" ContentType="application/vnd.ms-excel.controlproperties+xml"/>
  <Override PartName="/xl/ctrlProps/ctrlProp40.xml" ContentType="application/vnd.ms-excel.controlproperties+xml"/>
  <Override PartName="/xl/comments20.xml" ContentType="application/vnd.openxmlformats-officedocument.spreadsheetml.comments+xml"/>
  <Override PartName="/xl/drawings/drawing21.xml" ContentType="application/vnd.openxmlformats-officedocument.drawing+xml"/>
  <Override PartName="/xl/ctrlProps/ctrlProp41.xml" ContentType="application/vnd.ms-excel.controlproperties+xml"/>
  <Override PartName="/xl/ctrlProps/ctrlProp42.xml" ContentType="application/vnd.ms-excel.controlproperties+xml"/>
  <Override PartName="/xl/comments21.xml" ContentType="application/vnd.openxmlformats-officedocument.spreadsheetml.comments+xml"/>
  <Override PartName="/xl/drawings/drawing22.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22.xml" ContentType="application/vnd.openxmlformats-officedocument.spreadsheetml.comments+xml"/>
  <Override PartName="/xl/drawings/drawing23.xml" ContentType="application/vnd.openxmlformats-officedocument.drawing+xml"/>
  <Override PartName="/xl/ctrlProps/ctrlProp45.xml" ContentType="application/vnd.ms-excel.controlproperties+xml"/>
  <Override PartName="/xl/ctrlProps/ctrlProp46.xml" ContentType="application/vnd.ms-excel.controlproperties+xml"/>
  <Override PartName="/xl/comments23.xml" ContentType="application/vnd.openxmlformats-officedocument.spreadsheetml.comments+xml"/>
  <Override PartName="/xl/drawings/drawing24.xml" ContentType="application/vnd.openxmlformats-officedocument.drawing+xml"/>
  <Override PartName="/xl/ctrlProps/ctrlProp47.xml" ContentType="application/vnd.ms-excel.controlproperties+xml"/>
  <Override PartName="/xl/ctrlProps/ctrlProp48.xml" ContentType="application/vnd.ms-excel.controlproperties+xml"/>
  <Override PartName="/xl/comments24.xml" ContentType="application/vnd.openxmlformats-officedocument.spreadsheetml.comments+xml"/>
  <Override PartName="/xl/drawings/drawing25.xml" ContentType="application/vnd.openxmlformats-officedocument.drawing+xml"/>
  <Override PartName="/xl/ctrlProps/ctrlProp49.xml" ContentType="application/vnd.ms-excel.controlproperties+xml"/>
  <Override PartName="/xl/ctrlProps/ctrlProp50.xml" ContentType="application/vnd.ms-excel.controlproperties+xml"/>
  <Override PartName="/xl/comments25.xml" ContentType="application/vnd.openxmlformats-officedocument.spreadsheetml.comments+xml"/>
  <Override PartName="/xl/drawings/drawing26.xml" ContentType="application/vnd.openxmlformats-officedocument.drawing+xml"/>
  <Override PartName="/xl/ctrlProps/ctrlProp51.xml" ContentType="application/vnd.ms-excel.controlproperties+xml"/>
  <Override PartName="/xl/ctrlProps/ctrlProp52.xml" ContentType="application/vnd.ms-excel.controlproperties+xml"/>
  <Override PartName="/xl/comments2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85" yWindow="-15" windowWidth="12630" windowHeight="11760" activeTab="2"/>
  </bookViews>
  <sheets>
    <sheet name="Summary" sheetId="28" r:id="rId1"/>
    <sheet name="Proposed Rates" sheetId="29" r:id="rId2"/>
    <sheet name="Res (100)" sheetId="11" r:id="rId3"/>
    <sheet name="Res (232)" sheetId="30" r:id="rId4"/>
    <sheet name="Res (250)" sheetId="12" r:id="rId5"/>
    <sheet name="Res (500)" sheetId="13" r:id="rId6"/>
    <sheet name="Res (640)" sheetId="35" r:id="rId7"/>
    <sheet name="Res (750)" sheetId="34" r:id="rId8"/>
    <sheet name="Res (800)" sheetId="1" r:id="rId9"/>
    <sheet name="Res (1000)" sheetId="14" r:id="rId10"/>
    <sheet name="Res (1500)" sheetId="15" r:id="rId11"/>
    <sheet name="Res (2000)" sheetId="16" r:id="rId12"/>
    <sheet name="SC (1000)" sheetId="2" r:id="rId13"/>
    <sheet name="SC (2000)" sheetId="17" r:id="rId14"/>
    <sheet name="SC (5000)" sheetId="18" r:id="rId15"/>
    <sheet name="SC (10000)" sheetId="19" r:id="rId16"/>
    <sheet name="SC (15000)" sheetId="20" r:id="rId17"/>
    <sheet name="&gt;50 (100)" sheetId="3" r:id="rId18"/>
    <sheet name="&gt;50 (250)" sheetId="4" r:id="rId19"/>
    <sheet name="&gt;50 (500)" sheetId="5" r:id="rId20"/>
    <sheet name="&gt;50 (1000)" sheetId="21" r:id="rId21"/>
    <sheet name="&gt;1500(2500)" sheetId="6" r:id="rId22"/>
    <sheet name="&gt;1500(4000)" sheetId="24" r:id="rId23"/>
    <sheet name="LU(7500)" sheetId="7" r:id="rId24"/>
    <sheet name="LU(10000)" sheetId="26" r:id="rId25"/>
    <sheet name="USL (470)" sheetId="8" r:id="rId26"/>
    <sheet name="SN (.4)" sheetId="9" r:id="rId27"/>
    <sheet name="StLght (1.5)" sheetId="10" r:id="rId28"/>
  </sheets>
  <externalReferences>
    <externalReference r:id="rId29"/>
    <externalReference r:id="rId30"/>
    <externalReference r:id="rId31"/>
    <externalReference r:id="rId32"/>
    <externalReference r:id="rId33"/>
    <externalReference r:id="rId34"/>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21">'&gt;1500(2500)'!$A$1:$O$73</definedName>
    <definedName name="_xlnm.Print_Area" localSheetId="22">'&gt;1500(4000)'!$A$1:$O$73</definedName>
    <definedName name="_xlnm.Print_Area" localSheetId="17">'&gt;50 (100)'!$A$1:$O$73</definedName>
    <definedName name="_xlnm.Print_Area" localSheetId="20">'&gt;50 (1000)'!$A$1:$O$73</definedName>
    <definedName name="_xlnm.Print_Area" localSheetId="18">'&gt;50 (250)'!$A$1:$O$73</definedName>
    <definedName name="_xlnm.Print_Area" localSheetId="19">'&gt;50 (500)'!$A$1:$O$73</definedName>
    <definedName name="_xlnm.Print_Area" localSheetId="24">'LU(10000)'!$A$1:$O$73</definedName>
    <definedName name="_xlnm.Print_Area" localSheetId="23">'LU(7500)'!$A$1:$O$73</definedName>
    <definedName name="_xlnm.Print_Area" localSheetId="1">'Proposed Rates'!$A$1:$J$107</definedName>
    <definedName name="_xlnm.Print_Area" localSheetId="2">'Res (100)'!$A$1:$O$71</definedName>
    <definedName name="_xlnm.Print_Area" localSheetId="9">'Res (1000)'!$A$1:$O$71</definedName>
    <definedName name="_xlnm.Print_Area" localSheetId="10">'Res (1500)'!$A$1:$O$71</definedName>
    <definedName name="_xlnm.Print_Area" localSheetId="11">'Res (2000)'!$A$1:$O$71</definedName>
    <definedName name="_xlnm.Print_Area" localSheetId="3">'Res (232)'!$A$1:$O$71</definedName>
    <definedName name="_xlnm.Print_Area" localSheetId="4">'Res (250)'!$A$1:$O$71</definedName>
    <definedName name="_xlnm.Print_Area" localSheetId="5">'Res (500)'!$A$1:$O$71</definedName>
    <definedName name="_xlnm.Print_Area" localSheetId="6">'Res (640)'!$A$1:$O$75</definedName>
    <definedName name="_xlnm.Print_Area" localSheetId="7">'Res (750)'!$A$1:$O$75</definedName>
    <definedName name="_xlnm.Print_Area" localSheetId="8">'Res (800)'!$A$1:$O$75</definedName>
    <definedName name="_xlnm.Print_Area" localSheetId="12">'SC (1000)'!$A$1:$O$72</definedName>
    <definedName name="_xlnm.Print_Area" localSheetId="15">'SC (10000)'!$A$1:$O$72</definedName>
    <definedName name="_xlnm.Print_Area" localSheetId="16">'SC (15000)'!$A$1:$O$72</definedName>
    <definedName name="_xlnm.Print_Area" localSheetId="13">'SC (2000)'!$A$1:$O$72</definedName>
    <definedName name="_xlnm.Print_Area" localSheetId="14">'SC (5000)'!$A$1:$O$72</definedName>
    <definedName name="_xlnm.Print_Area" localSheetId="26">'SN (.4)'!$A$1:$O$73</definedName>
    <definedName name="_xlnm.Print_Area" localSheetId="27">'StLght (1.5)'!$A$1:$O$73</definedName>
    <definedName name="_xlnm.Print_Area" localSheetId="0">Summary!$A$1:$F$66</definedName>
    <definedName name="_xlnm.Print_Area" localSheetId="25">'USL (470)'!$A$1:$O$73</definedName>
    <definedName name="_xlnm.Print_Titles" localSheetId="21">'&gt;1500(2500)'!$A:$H</definedName>
    <definedName name="_xlnm.Print_Titles" localSheetId="22">'&gt;1500(4000)'!$A:$H</definedName>
    <definedName name="_xlnm.Print_Titles" localSheetId="17">'&gt;50 (100)'!$A:$H</definedName>
    <definedName name="_xlnm.Print_Titles" localSheetId="20">'&gt;50 (1000)'!$A:$H</definedName>
    <definedName name="_xlnm.Print_Titles" localSheetId="18">'&gt;50 (250)'!$A:$H</definedName>
    <definedName name="_xlnm.Print_Titles" localSheetId="19">'&gt;50 (500)'!$A:$H</definedName>
    <definedName name="_xlnm.Print_Titles" localSheetId="24">'LU(10000)'!$A:$H</definedName>
    <definedName name="_xlnm.Print_Titles" localSheetId="23">'LU(7500)'!$A:$H</definedName>
    <definedName name="_xlnm.Print_Titles" localSheetId="2">'Res (100)'!$A:$H</definedName>
    <definedName name="_xlnm.Print_Titles" localSheetId="9">'Res (1000)'!$A:$H</definedName>
    <definedName name="_xlnm.Print_Titles" localSheetId="10">'Res (1500)'!$A:$H</definedName>
    <definedName name="_xlnm.Print_Titles" localSheetId="11">'Res (2000)'!$A:$H</definedName>
    <definedName name="_xlnm.Print_Titles" localSheetId="3">'Res (232)'!$A:$H</definedName>
    <definedName name="_xlnm.Print_Titles" localSheetId="4">'Res (250)'!$A:$H</definedName>
    <definedName name="_xlnm.Print_Titles" localSheetId="5">'Res (500)'!$A:$H</definedName>
    <definedName name="_xlnm.Print_Titles" localSheetId="6">'Res (640)'!$A:$H</definedName>
    <definedName name="_xlnm.Print_Titles" localSheetId="7">'Res (750)'!$A:$H</definedName>
    <definedName name="_xlnm.Print_Titles" localSheetId="8">'Res (800)'!$A:$H</definedName>
    <definedName name="_xlnm.Print_Titles" localSheetId="12">'SC (1000)'!$A:$H</definedName>
    <definedName name="_xlnm.Print_Titles" localSheetId="15">'SC (10000)'!$A:$H</definedName>
    <definedName name="_xlnm.Print_Titles" localSheetId="16">'SC (15000)'!$A:$H</definedName>
    <definedName name="_xlnm.Print_Titles" localSheetId="13">'SC (2000)'!$A:$H</definedName>
    <definedName name="_xlnm.Print_Titles" localSheetId="14">'SC (5000)'!$A:$H</definedName>
    <definedName name="_xlnm.Print_Titles" localSheetId="26">'SN (.4)'!$A:$H</definedName>
    <definedName name="_xlnm.Print_Titles" localSheetId="27">'StLght (1.5)'!$A:$H</definedName>
    <definedName name="_xlnm.Print_Titles" localSheetId="25">'USL (470)'!$A:$H</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J44" i="10" l="1"/>
  <c r="F44" i="10"/>
  <c r="J44" i="9"/>
  <c r="F44" i="9"/>
  <c r="H44" i="9" s="1"/>
  <c r="O44" i="9" s="1"/>
  <c r="J44" i="8"/>
  <c r="L44" i="8" s="1"/>
  <c r="F44" i="8"/>
  <c r="H44" i="8" s="1"/>
  <c r="O44" i="8" s="1"/>
  <c r="G44" i="10"/>
  <c r="H44" i="10" s="1"/>
  <c r="K44" i="10"/>
  <c r="L44" i="10" s="1"/>
  <c r="K44" i="8"/>
  <c r="G44" i="8"/>
  <c r="K44" i="9"/>
  <c r="L44" i="9" s="1"/>
  <c r="G44" i="9"/>
  <c r="J44" i="7"/>
  <c r="J44" i="26" s="1"/>
  <c r="F44" i="7"/>
  <c r="F44" i="26" s="1"/>
  <c r="J44" i="6"/>
  <c r="J44" i="24" s="1"/>
  <c r="G44" i="26"/>
  <c r="K44" i="26"/>
  <c r="G44" i="7"/>
  <c r="K44" i="7"/>
  <c r="G44" i="24"/>
  <c r="K44" i="24"/>
  <c r="K44" i="6"/>
  <c r="G44" i="6"/>
  <c r="F44" i="6"/>
  <c r="F44" i="24" s="1"/>
  <c r="J44" i="3"/>
  <c r="J44" i="5" s="1"/>
  <c r="K44" i="4"/>
  <c r="G44" i="4"/>
  <c r="F44" i="3"/>
  <c r="F44" i="5" s="1"/>
  <c r="J43" i="2"/>
  <c r="J43" i="20" s="1"/>
  <c r="F43" i="2"/>
  <c r="F43" i="19" s="1"/>
  <c r="J43" i="11"/>
  <c r="J43" i="15" s="1"/>
  <c r="F43" i="11"/>
  <c r="F43" i="34" s="1"/>
  <c r="G43" i="11"/>
  <c r="N44" i="9" l="1"/>
  <c r="F43" i="17"/>
  <c r="F43" i="35"/>
  <c r="F43" i="20"/>
  <c r="J43" i="19"/>
  <c r="J43" i="16"/>
  <c r="J43" i="17"/>
  <c r="J43" i="18" s="1"/>
  <c r="F43" i="18"/>
  <c r="L44" i="7"/>
  <c r="N44" i="10"/>
  <c r="N44" i="8"/>
  <c r="H44" i="26"/>
  <c r="O44" i="26" s="1"/>
  <c r="L44" i="26"/>
  <c r="H44" i="7"/>
  <c r="O44" i="7" s="1"/>
  <c r="H44" i="24"/>
  <c r="O44" i="24" s="1"/>
  <c r="L44" i="24"/>
  <c r="H44" i="6"/>
  <c r="O44" i="6" s="1"/>
  <c r="F44" i="21"/>
  <c r="F44" i="4"/>
  <c r="H44" i="4" s="1"/>
  <c r="O44" i="4" s="1"/>
  <c r="J44" i="21"/>
  <c r="J44" i="4"/>
  <c r="L44" i="4" s="1"/>
  <c r="F43" i="30"/>
  <c r="F43" i="1"/>
  <c r="J43" i="30"/>
  <c r="F43" i="14"/>
  <c r="F43" i="12"/>
  <c r="J43" i="14"/>
  <c r="F43" i="13"/>
  <c r="F43" i="15"/>
  <c r="J43" i="13"/>
  <c r="F43" i="16"/>
  <c r="J43" i="34"/>
  <c r="L44" i="6"/>
  <c r="N44" i="6" s="1"/>
  <c r="J43" i="12"/>
  <c r="J43" i="35"/>
  <c r="J43" i="1"/>
  <c r="N44" i="26" l="1"/>
  <c r="N44" i="24"/>
  <c r="N44" i="7"/>
  <c r="N44" i="4"/>
  <c r="E45" i="29"/>
  <c r="E39" i="29"/>
  <c r="E48" i="29"/>
  <c r="E47" i="29"/>
  <c r="E46" i="29"/>
  <c r="J50" i="10" l="1"/>
  <c r="J49" i="10"/>
  <c r="J49" i="9"/>
  <c r="J50" i="9"/>
  <c r="J50" i="8"/>
  <c r="J49" i="8"/>
  <c r="J50" i="7"/>
  <c r="J50" i="26" s="1"/>
  <c r="J49" i="7"/>
  <c r="J49" i="26" s="1"/>
  <c r="J50" i="6"/>
  <c r="J50" i="24" s="1"/>
  <c r="J49" i="6"/>
  <c r="J49" i="24" s="1"/>
  <c r="J50" i="3"/>
  <c r="J50" i="4" s="1"/>
  <c r="J49" i="3"/>
  <c r="J49" i="5" s="1"/>
  <c r="J49" i="2"/>
  <c r="J49" i="20" s="1"/>
  <c r="J48" i="2"/>
  <c r="J48" i="18" s="1"/>
  <c r="J49" i="11"/>
  <c r="J49" i="15" s="1"/>
  <c r="J48" i="11"/>
  <c r="J48" i="35" s="1"/>
  <c r="J48" i="19" l="1"/>
  <c r="J49" i="19"/>
  <c r="J49" i="34"/>
  <c r="J49" i="14"/>
  <c r="J49" i="13"/>
  <c r="J49" i="16"/>
  <c r="J49" i="17"/>
  <c r="J49" i="30"/>
  <c r="J49" i="18"/>
  <c r="J48" i="34"/>
  <c r="J48" i="12"/>
  <c r="J48" i="1"/>
  <c r="J50" i="5"/>
  <c r="J49" i="12"/>
  <c r="J49" i="1"/>
  <c r="J48" i="20"/>
  <c r="J49" i="21"/>
  <c r="J48" i="13"/>
  <c r="J48" i="14"/>
  <c r="J48" i="17"/>
  <c r="J50" i="21"/>
  <c r="J48" i="15"/>
  <c r="J49" i="35"/>
  <c r="J49" i="4"/>
  <c r="J48" i="30"/>
  <c r="J48" i="16"/>
  <c r="D41" i="29"/>
  <c r="G59" i="35" l="1"/>
  <c r="G58" i="35"/>
  <c r="K58" i="35" s="1"/>
  <c r="G57" i="35"/>
  <c r="K57" i="35" s="1"/>
  <c r="G56" i="35"/>
  <c r="K56" i="35" s="1"/>
  <c r="G55" i="35"/>
  <c r="K55" i="35" s="1"/>
  <c r="K43" i="35"/>
  <c r="L43" i="35" s="1"/>
  <c r="G43" i="35"/>
  <c r="H43" i="35" s="1"/>
  <c r="O43" i="35" s="1"/>
  <c r="K42" i="35"/>
  <c r="G42" i="35"/>
  <c r="B42" i="35"/>
  <c r="B41" i="35"/>
  <c r="K40" i="35"/>
  <c r="G40" i="35"/>
  <c r="B40" i="35"/>
  <c r="K38" i="35"/>
  <c r="L38" i="35" s="1"/>
  <c r="G38" i="35"/>
  <c r="H38" i="35" s="1"/>
  <c r="O38" i="35" s="1"/>
  <c r="K37" i="35"/>
  <c r="L37" i="35" s="1"/>
  <c r="G37" i="35"/>
  <c r="H37" i="35" s="1"/>
  <c r="O37" i="35" s="1"/>
  <c r="K36" i="35"/>
  <c r="L36" i="35" s="1"/>
  <c r="G36" i="35"/>
  <c r="H36" i="35" s="1"/>
  <c r="O36" i="35" s="1"/>
  <c r="K35" i="35"/>
  <c r="L35" i="35" s="1"/>
  <c r="G35" i="35"/>
  <c r="H35" i="35" s="1"/>
  <c r="O35" i="35" s="1"/>
  <c r="K34" i="35"/>
  <c r="L34" i="35" s="1"/>
  <c r="G34" i="35"/>
  <c r="H34" i="35" s="1"/>
  <c r="O34" i="35" s="1"/>
  <c r="K33" i="35"/>
  <c r="L33" i="35" s="1"/>
  <c r="G33" i="35"/>
  <c r="H33" i="35" s="1"/>
  <c r="O33" i="35" s="1"/>
  <c r="K32" i="35"/>
  <c r="L32" i="35" s="1"/>
  <c r="G32" i="35"/>
  <c r="H32" i="35" s="1"/>
  <c r="O32" i="35" s="1"/>
  <c r="K31" i="35"/>
  <c r="G31" i="35"/>
  <c r="K30" i="35"/>
  <c r="L30" i="35" s="1"/>
  <c r="G30" i="35"/>
  <c r="H30" i="35" s="1"/>
  <c r="O30" i="35" s="1"/>
  <c r="K29" i="35"/>
  <c r="G29" i="35"/>
  <c r="L28" i="35"/>
  <c r="H28" i="35"/>
  <c r="O28" i="35" s="1"/>
  <c r="L27" i="35"/>
  <c r="H27" i="35"/>
  <c r="O27" i="35" s="1"/>
  <c r="L26" i="35"/>
  <c r="H26" i="35"/>
  <c r="O26" i="35" s="1"/>
  <c r="L25" i="35"/>
  <c r="H25" i="35"/>
  <c r="O25" i="35" s="1"/>
  <c r="L24" i="35"/>
  <c r="H24" i="35"/>
  <c r="O24" i="35" s="1"/>
  <c r="G59" i="34"/>
  <c r="G58" i="34"/>
  <c r="K58" i="34" s="1"/>
  <c r="G57" i="34"/>
  <c r="K57" i="34" s="1"/>
  <c r="G56" i="34"/>
  <c r="K56" i="34" s="1"/>
  <c r="G55" i="34"/>
  <c r="K55" i="34" s="1"/>
  <c r="K43" i="34"/>
  <c r="L43" i="34" s="1"/>
  <c r="G43" i="34"/>
  <c r="H43" i="34" s="1"/>
  <c r="O43" i="34" s="1"/>
  <c r="K42" i="34"/>
  <c r="G42" i="34"/>
  <c r="B42" i="34"/>
  <c r="B41" i="34"/>
  <c r="K40" i="34"/>
  <c r="G40" i="34"/>
  <c r="B40" i="34"/>
  <c r="K38" i="34"/>
  <c r="L38" i="34" s="1"/>
  <c r="G38" i="34"/>
  <c r="H38" i="34" s="1"/>
  <c r="O38" i="34" s="1"/>
  <c r="K37" i="34"/>
  <c r="L37" i="34" s="1"/>
  <c r="G37" i="34"/>
  <c r="H37" i="34" s="1"/>
  <c r="O37" i="34" s="1"/>
  <c r="K36" i="34"/>
  <c r="L36" i="34" s="1"/>
  <c r="G36" i="34"/>
  <c r="H36" i="34" s="1"/>
  <c r="O36" i="34" s="1"/>
  <c r="K35" i="34"/>
  <c r="L35" i="34" s="1"/>
  <c r="G35" i="34"/>
  <c r="H35" i="34" s="1"/>
  <c r="O35" i="34" s="1"/>
  <c r="K34" i="34"/>
  <c r="L34" i="34" s="1"/>
  <c r="G34" i="34"/>
  <c r="H34" i="34" s="1"/>
  <c r="O34" i="34" s="1"/>
  <c r="K33" i="34"/>
  <c r="L33" i="34" s="1"/>
  <c r="G33" i="34"/>
  <c r="H33" i="34" s="1"/>
  <c r="O33" i="34" s="1"/>
  <c r="K32" i="34"/>
  <c r="L32" i="34" s="1"/>
  <c r="G32" i="34"/>
  <c r="H32" i="34" s="1"/>
  <c r="O32" i="34" s="1"/>
  <c r="K31" i="34"/>
  <c r="G31" i="34"/>
  <c r="K30" i="34"/>
  <c r="L30" i="34" s="1"/>
  <c r="G30" i="34"/>
  <c r="H30" i="34" s="1"/>
  <c r="O30" i="34" s="1"/>
  <c r="K29" i="34"/>
  <c r="G29" i="34"/>
  <c r="L28" i="34"/>
  <c r="H28" i="34"/>
  <c r="O28" i="34" s="1"/>
  <c r="L27" i="34"/>
  <c r="H27" i="34"/>
  <c r="O27" i="34" s="1"/>
  <c r="L26" i="34"/>
  <c r="H26" i="34"/>
  <c r="O26" i="34" s="1"/>
  <c r="L25" i="34"/>
  <c r="H25" i="34"/>
  <c r="O25" i="34" s="1"/>
  <c r="L24" i="34"/>
  <c r="H24" i="34"/>
  <c r="O24" i="34" s="1"/>
  <c r="N25" i="34" l="1"/>
  <c r="N27" i="34"/>
  <c r="N35" i="34"/>
  <c r="N26" i="35"/>
  <c r="N30" i="35"/>
  <c r="N24" i="35"/>
  <c r="N43" i="35"/>
  <c r="N34" i="35"/>
  <c r="N28" i="35"/>
  <c r="N35" i="35"/>
  <c r="N38" i="35"/>
  <c r="K59" i="35"/>
  <c r="N33" i="35"/>
  <c r="N37" i="35"/>
  <c r="N32" i="35"/>
  <c r="N36" i="35"/>
  <c r="N25" i="35"/>
  <c r="N27" i="35"/>
  <c r="N38" i="34"/>
  <c r="N30" i="34"/>
  <c r="N34" i="34"/>
  <c r="K59" i="34"/>
  <c r="N33" i="34"/>
  <c r="N36" i="34"/>
  <c r="N26" i="34"/>
  <c r="N32" i="34"/>
  <c r="N43" i="34"/>
  <c r="N24" i="34"/>
  <c r="N37" i="34"/>
  <c r="N28" i="34"/>
  <c r="G59" i="10"/>
  <c r="G58" i="10"/>
  <c r="G57" i="10"/>
  <c r="G59" i="9"/>
  <c r="G58" i="9"/>
  <c r="G57" i="9"/>
  <c r="G59" i="8"/>
  <c r="G58" i="8"/>
  <c r="G57" i="8"/>
  <c r="G59" i="26"/>
  <c r="G58" i="26"/>
  <c r="G57" i="26"/>
  <c r="G59" i="7"/>
  <c r="G58" i="7"/>
  <c r="G57" i="7"/>
  <c r="G59" i="24"/>
  <c r="G58" i="24"/>
  <c r="G57" i="24"/>
  <c r="G59" i="6"/>
  <c r="G58" i="6"/>
  <c r="G57" i="6"/>
  <c r="G59" i="4"/>
  <c r="G58" i="4"/>
  <c r="G57" i="4"/>
  <c r="G58" i="20"/>
  <c r="G57" i="20"/>
  <c r="G56" i="20"/>
  <c r="G58" i="19"/>
  <c r="G57" i="19"/>
  <c r="G56" i="19"/>
  <c r="G58" i="18"/>
  <c r="G57" i="18"/>
  <c r="G56" i="18"/>
  <c r="G58" i="17"/>
  <c r="G57" i="17"/>
  <c r="G56" i="17"/>
  <c r="G58" i="2"/>
  <c r="G57" i="2"/>
  <c r="G56" i="2"/>
  <c r="G57" i="16"/>
  <c r="G56" i="16"/>
  <c r="G55" i="16"/>
  <c r="G58" i="16"/>
  <c r="G57" i="15"/>
  <c r="G56" i="15"/>
  <c r="G55" i="15"/>
  <c r="G57" i="14"/>
  <c r="G56" i="14"/>
  <c r="G55" i="14"/>
  <c r="G57" i="1"/>
  <c r="G56" i="1"/>
  <c r="G55" i="1"/>
  <c r="G57" i="13"/>
  <c r="G56" i="13"/>
  <c r="G55" i="13"/>
  <c r="G57" i="12"/>
  <c r="G56" i="12"/>
  <c r="G55" i="12"/>
  <c r="G57" i="30"/>
  <c r="G56" i="30"/>
  <c r="G55" i="30"/>
  <c r="G56" i="11"/>
  <c r="G55" i="11"/>
  <c r="G43" i="10"/>
  <c r="G43" i="9"/>
  <c r="G43" i="26"/>
  <c r="G43" i="7"/>
  <c r="G43" i="24"/>
  <c r="G43" i="6"/>
  <c r="G43" i="21"/>
  <c r="G43" i="5"/>
  <c r="F42" i="10"/>
  <c r="F31" i="10"/>
  <c r="F42" i="8"/>
  <c r="F31" i="8"/>
  <c r="F31" i="9"/>
  <c r="F42" i="9"/>
  <c r="D53" i="29"/>
  <c r="D54" i="29"/>
  <c r="F41" i="5" s="1"/>
  <c r="D55" i="29"/>
  <c r="F41" i="24" s="1"/>
  <c r="D56" i="29"/>
  <c r="F41" i="26" s="1"/>
  <c r="D57" i="29"/>
  <c r="F41" i="10" s="1"/>
  <c r="D58" i="29"/>
  <c r="F41" i="9" s="1"/>
  <c r="D59" i="29"/>
  <c r="F41" i="8" s="1"/>
  <c r="D60" i="29"/>
  <c r="D61" i="29"/>
  <c r="D62" i="29"/>
  <c r="G42" i="26"/>
  <c r="F42" i="26"/>
  <c r="F42" i="7"/>
  <c r="F31" i="7"/>
  <c r="F42" i="24"/>
  <c r="F42" i="6"/>
  <c r="F31" i="6"/>
  <c r="F42" i="21"/>
  <c r="F42" i="5"/>
  <c r="F42" i="4"/>
  <c r="F41" i="6" l="1"/>
  <c r="F41" i="7"/>
  <c r="F41" i="4"/>
  <c r="F41" i="21"/>
  <c r="F42" i="3"/>
  <c r="F31" i="3"/>
  <c r="F41" i="3"/>
  <c r="F41" i="20"/>
  <c r="F41" i="19"/>
  <c r="F41" i="18"/>
  <c r="F41" i="17"/>
  <c r="F41" i="2"/>
  <c r="F31" i="2"/>
  <c r="F55" i="10" l="1"/>
  <c r="J55" i="10" s="1"/>
  <c r="F55" i="9"/>
  <c r="J55" i="9" s="1"/>
  <c r="F55" i="8"/>
  <c r="J55" i="8" s="1"/>
  <c r="F55" i="26"/>
  <c r="J55" i="26" s="1"/>
  <c r="F55" i="7"/>
  <c r="J55" i="7" s="1"/>
  <c r="F55" i="24"/>
  <c r="J55" i="24" s="1"/>
  <c r="F55" i="6"/>
  <c r="J55" i="6" s="1"/>
  <c r="F55" i="21"/>
  <c r="J55" i="21" s="1"/>
  <c r="F55" i="5"/>
  <c r="J55" i="5" s="1"/>
  <c r="F55" i="4"/>
  <c r="J55" i="4" s="1"/>
  <c r="F55" i="3"/>
  <c r="J55" i="3" s="1"/>
  <c r="F54" i="20"/>
  <c r="J54" i="20" s="1"/>
  <c r="F54" i="19"/>
  <c r="J54" i="19" s="1"/>
  <c r="F54" i="18"/>
  <c r="J54" i="18" s="1"/>
  <c r="F54" i="17" l="1"/>
  <c r="J54" i="17" s="1"/>
  <c r="F54" i="2"/>
  <c r="J54" i="2" s="1"/>
  <c r="F54" i="11" l="1"/>
  <c r="F31" i="11"/>
  <c r="F29" i="11"/>
  <c r="F23" i="11"/>
  <c r="F48" i="11"/>
  <c r="F31" i="35" l="1"/>
  <c r="H31" i="35" s="1"/>
  <c r="F31" i="34"/>
  <c r="H31" i="34" s="1"/>
  <c r="F48" i="34"/>
  <c r="F48" i="35"/>
  <c r="F54" i="34"/>
  <c r="F54" i="35"/>
  <c r="F23" i="34"/>
  <c r="H23" i="34" s="1"/>
  <c r="F23" i="35"/>
  <c r="H23" i="35" s="1"/>
  <c r="F29" i="34"/>
  <c r="H29" i="34" s="1"/>
  <c r="F29" i="35"/>
  <c r="H29" i="35" s="1"/>
  <c r="F54" i="14"/>
  <c r="F54" i="13"/>
  <c r="F54" i="30"/>
  <c r="F54" i="15"/>
  <c r="F54" i="16" s="1"/>
  <c r="F54" i="1"/>
  <c r="F54" i="12"/>
  <c r="F31" i="16"/>
  <c r="J54" i="11"/>
  <c r="D98" i="29"/>
  <c r="D99" i="29"/>
  <c r="D100" i="29"/>
  <c r="D101" i="29"/>
  <c r="D102" i="29"/>
  <c r="F43" i="10" s="1"/>
  <c r="D103" i="29"/>
  <c r="F43" i="9" s="1"/>
  <c r="D104" i="29"/>
  <c r="F43" i="8" s="1"/>
  <c r="D105" i="29"/>
  <c r="D106" i="29"/>
  <c r="D107" i="29"/>
  <c r="D97" i="29"/>
  <c r="F42" i="11" s="1"/>
  <c r="F42" i="30" s="1"/>
  <c r="F42" i="14" s="1"/>
  <c r="D52" i="29"/>
  <c r="F41" i="11" s="1"/>
  <c r="F41" i="14" s="1"/>
  <c r="D39" i="29"/>
  <c r="D40" i="29"/>
  <c r="D42" i="29"/>
  <c r="D43" i="29"/>
  <c r="F40" i="10" s="1"/>
  <c r="D44" i="29"/>
  <c r="F40" i="9" s="1"/>
  <c r="D45" i="29"/>
  <c r="F40" i="8" s="1"/>
  <c r="D46" i="29"/>
  <c r="D47" i="29"/>
  <c r="D48" i="29"/>
  <c r="D38" i="29"/>
  <c r="F40" i="11" s="1"/>
  <c r="F40" i="16" s="1"/>
  <c r="F40" i="13" l="1"/>
  <c r="F40" i="30"/>
  <c r="F40" i="35"/>
  <c r="H40" i="35" s="1"/>
  <c r="F41" i="12"/>
  <c r="F40" i="34"/>
  <c r="H40" i="34" s="1"/>
  <c r="F41" i="30"/>
  <c r="F41" i="1"/>
  <c r="H41" i="11"/>
  <c r="F41" i="34"/>
  <c r="H41" i="34" s="1"/>
  <c r="F41" i="13"/>
  <c r="F43" i="24"/>
  <c r="F43" i="6"/>
  <c r="F42" i="15"/>
  <c r="F42" i="34"/>
  <c r="H42" i="34" s="1"/>
  <c r="F43" i="4"/>
  <c r="F43" i="21"/>
  <c r="F43" i="5"/>
  <c r="F43" i="3"/>
  <c r="F40" i="1"/>
  <c r="F42" i="35"/>
  <c r="H42" i="35" s="1"/>
  <c r="F40" i="4"/>
  <c r="F40" i="21"/>
  <c r="F40" i="5"/>
  <c r="F40" i="3"/>
  <c r="F42" i="1"/>
  <c r="F40" i="14"/>
  <c r="F41" i="16"/>
  <c r="F41" i="35"/>
  <c r="H41" i="35" s="1"/>
  <c r="F42" i="17"/>
  <c r="F42" i="20"/>
  <c r="F42" i="18"/>
  <c r="F42" i="2"/>
  <c r="F42" i="19"/>
  <c r="F40" i="7"/>
  <c r="F40" i="26"/>
  <c r="F40" i="24"/>
  <c r="F40" i="6"/>
  <c r="F42" i="13"/>
  <c r="F40" i="17"/>
  <c r="F40" i="20"/>
  <c r="F40" i="19"/>
  <c r="F40" i="2"/>
  <c r="F40" i="18"/>
  <c r="F42" i="16"/>
  <c r="F40" i="15"/>
  <c r="F41" i="15"/>
  <c r="F42" i="12"/>
  <c r="F40" i="12"/>
  <c r="F43" i="26"/>
  <c r="F43" i="7"/>
  <c r="J54" i="35"/>
  <c r="J54" i="34"/>
  <c r="D21" i="28"/>
  <c r="H39" i="35"/>
  <c r="D16" i="28"/>
  <c r="H39" i="34"/>
  <c r="J54" i="13"/>
  <c r="J54" i="30"/>
  <c r="J54" i="1"/>
  <c r="J54" i="12"/>
  <c r="J54" i="14"/>
  <c r="J54" i="15"/>
  <c r="J54" i="16" s="1"/>
  <c r="F55" i="11"/>
  <c r="F55" i="16" l="1"/>
  <c r="F55" i="35"/>
  <c r="F55" i="34"/>
  <c r="J54" i="10"/>
  <c r="J45" i="10"/>
  <c r="F54" i="10"/>
  <c r="J54" i="9"/>
  <c r="J45" i="9"/>
  <c r="F54" i="9"/>
  <c r="J54" i="8"/>
  <c r="J45" i="8"/>
  <c r="F54" i="8"/>
  <c r="J72" i="7"/>
  <c r="J54" i="7"/>
  <c r="J54" i="26" s="1"/>
  <c r="J45" i="7"/>
  <c r="J45" i="26" s="1"/>
  <c r="F54" i="7"/>
  <c r="F54" i="26" s="1"/>
  <c r="J54" i="6"/>
  <c r="J54" i="24" s="1"/>
  <c r="J45" i="6"/>
  <c r="J45" i="24" s="1"/>
  <c r="F54" i="6"/>
  <c r="F54" i="24" s="1"/>
  <c r="J54" i="3"/>
  <c r="J54" i="21" s="1"/>
  <c r="J45" i="3"/>
  <c r="J45" i="4" s="1"/>
  <c r="F54" i="3"/>
  <c r="F54" i="21" s="1"/>
  <c r="J55" i="34" l="1"/>
  <c r="L55" i="34" s="1"/>
  <c r="H55" i="34"/>
  <c r="J55" i="35"/>
  <c r="H55" i="35"/>
  <c r="J54" i="4"/>
  <c r="F54" i="5"/>
  <c r="J45" i="5"/>
  <c r="J54" i="5"/>
  <c r="F54" i="4"/>
  <c r="J45" i="21"/>
  <c r="L55" i="35" l="1"/>
  <c r="N55" i="35" s="1"/>
  <c r="O55" i="35" s="1"/>
  <c r="N55" i="34"/>
  <c r="O55" i="34" s="1"/>
  <c r="J46" i="2"/>
  <c r="J46" i="18" s="1"/>
  <c r="J44" i="2"/>
  <c r="F53" i="2"/>
  <c r="F53" i="18" s="1"/>
  <c r="J53" i="18" s="1"/>
  <c r="J53" i="12"/>
  <c r="F53" i="12"/>
  <c r="J44" i="30"/>
  <c r="J46" i="30"/>
  <c r="J53" i="30"/>
  <c r="F53" i="30"/>
  <c r="J53" i="11"/>
  <c r="F53" i="11"/>
  <c r="F53" i="14" l="1"/>
  <c r="J53" i="14" s="1"/>
  <c r="F53" i="34"/>
  <c r="F53" i="35"/>
  <c r="J44" i="18"/>
  <c r="J44" i="17"/>
  <c r="J46" i="17"/>
  <c r="F53" i="19"/>
  <c r="J53" i="2"/>
  <c r="J44" i="19"/>
  <c r="J44" i="20"/>
  <c r="J46" i="20"/>
  <c r="J46" i="19"/>
  <c r="F53" i="17"/>
  <c r="J53" i="17" s="1"/>
  <c r="F53" i="13"/>
  <c r="J53" i="13" s="1"/>
  <c r="F53" i="1"/>
  <c r="J53" i="1" s="1"/>
  <c r="F53" i="16"/>
  <c r="J53" i="16" s="1"/>
  <c r="F53" i="15"/>
  <c r="J53" i="15" s="1"/>
  <c r="J70" i="11"/>
  <c r="J46" i="11"/>
  <c r="J44" i="11"/>
  <c r="F72" i="10"/>
  <c r="F61" i="10"/>
  <c r="J61" i="10" s="1"/>
  <c r="F60" i="10"/>
  <c r="J60" i="10" s="1"/>
  <c r="F59" i="10"/>
  <c r="J59" i="10" s="1"/>
  <c r="F58" i="10"/>
  <c r="J58" i="10" s="1"/>
  <c r="F57" i="10"/>
  <c r="F56" i="10"/>
  <c r="F53" i="10"/>
  <c r="J53" i="10" s="1"/>
  <c r="F52" i="10"/>
  <c r="J52" i="10" s="1"/>
  <c r="F50" i="10"/>
  <c r="F49" i="10"/>
  <c r="F45" i="10"/>
  <c r="F29" i="10"/>
  <c r="F23" i="10"/>
  <c r="F72" i="9"/>
  <c r="F61" i="9"/>
  <c r="J61" i="9" s="1"/>
  <c r="F60" i="9"/>
  <c r="J60" i="9" s="1"/>
  <c r="F59" i="9"/>
  <c r="J59" i="9" s="1"/>
  <c r="F58" i="9"/>
  <c r="J58" i="9" s="1"/>
  <c r="F57" i="9"/>
  <c r="F56" i="9"/>
  <c r="F53" i="9"/>
  <c r="J53" i="9" s="1"/>
  <c r="F52" i="9"/>
  <c r="J52" i="9" s="1"/>
  <c r="F50" i="9"/>
  <c r="F49" i="9"/>
  <c r="F45" i="9"/>
  <c r="F29" i="9"/>
  <c r="F23" i="9"/>
  <c r="F72" i="8"/>
  <c r="F61" i="8"/>
  <c r="J61" i="8" s="1"/>
  <c r="F60" i="8"/>
  <c r="J60" i="8" s="1"/>
  <c r="F59" i="8"/>
  <c r="J59" i="8" s="1"/>
  <c r="F58" i="8"/>
  <c r="J58" i="8" s="1"/>
  <c r="F57" i="8"/>
  <c r="F56" i="8"/>
  <c r="F53" i="8"/>
  <c r="J53" i="8" s="1"/>
  <c r="F52" i="8"/>
  <c r="J52" i="8" s="1"/>
  <c r="F50" i="8"/>
  <c r="F49" i="8"/>
  <c r="F45" i="8"/>
  <c r="F29" i="8"/>
  <c r="F23" i="8"/>
  <c r="F72" i="7"/>
  <c r="F72" i="26" s="1"/>
  <c r="F61" i="7"/>
  <c r="F60" i="7"/>
  <c r="F59" i="7"/>
  <c r="F58" i="7"/>
  <c r="F57" i="7"/>
  <c r="F56" i="7"/>
  <c r="F56" i="26" s="1"/>
  <c r="F53" i="7"/>
  <c r="F52" i="7"/>
  <c r="F50" i="7"/>
  <c r="F50" i="26" s="1"/>
  <c r="F49" i="7"/>
  <c r="F49" i="26" s="1"/>
  <c r="F45" i="7"/>
  <c r="F45" i="26" s="1"/>
  <c r="F29" i="7"/>
  <c r="F23" i="7"/>
  <c r="F72" i="6"/>
  <c r="F72" i="24" s="1"/>
  <c r="F61" i="6"/>
  <c r="F60" i="6"/>
  <c r="F59" i="6"/>
  <c r="F58" i="6"/>
  <c r="F57" i="6"/>
  <c r="F56" i="6"/>
  <c r="F56" i="24" s="1"/>
  <c r="F53" i="6"/>
  <c r="F52" i="6"/>
  <c r="F50" i="6"/>
  <c r="F50" i="24" s="1"/>
  <c r="F49" i="6"/>
  <c r="F49" i="24" s="1"/>
  <c r="F45" i="6"/>
  <c r="F45" i="24" s="1"/>
  <c r="F29" i="6"/>
  <c r="F23" i="6"/>
  <c r="F72" i="3"/>
  <c r="F72" i="5" s="1"/>
  <c r="F61" i="3"/>
  <c r="F60" i="3"/>
  <c r="F59" i="3"/>
  <c r="F58" i="3"/>
  <c r="F57" i="3"/>
  <c r="F56" i="3"/>
  <c r="F56" i="5" s="1"/>
  <c r="F53" i="3"/>
  <c r="F52" i="3"/>
  <c r="F50" i="3"/>
  <c r="F50" i="5" s="1"/>
  <c r="F49" i="3"/>
  <c r="F49" i="21" s="1"/>
  <c r="F45" i="3"/>
  <c r="F29" i="3"/>
  <c r="F23" i="3"/>
  <c r="F71" i="2"/>
  <c r="F60" i="2"/>
  <c r="F59" i="2"/>
  <c r="F58" i="2"/>
  <c r="F57" i="2"/>
  <c r="F56" i="2"/>
  <c r="F55" i="2"/>
  <c r="F55" i="19" s="1"/>
  <c r="J55" i="19" s="1"/>
  <c r="F52" i="2"/>
  <c r="F51" i="2"/>
  <c r="F49" i="2"/>
  <c r="F49" i="17" s="1"/>
  <c r="F48" i="2"/>
  <c r="F48" i="17" s="1"/>
  <c r="F46" i="2"/>
  <c r="F46" i="19" s="1"/>
  <c r="F44" i="2"/>
  <c r="F44" i="19" s="1"/>
  <c r="F29" i="2"/>
  <c r="F23" i="2"/>
  <c r="F59" i="11"/>
  <c r="F58" i="11"/>
  <c r="F57" i="11"/>
  <c r="F56" i="11"/>
  <c r="F70" i="11"/>
  <c r="F52" i="11"/>
  <c r="F51" i="11"/>
  <c r="F49" i="11"/>
  <c r="F48" i="14"/>
  <c r="F46" i="11"/>
  <c r="F44" i="11"/>
  <c r="F29" i="16"/>
  <c r="F23" i="16"/>
  <c r="F49" i="15" l="1"/>
  <c r="F49" i="34"/>
  <c r="F49" i="35"/>
  <c r="F70" i="35"/>
  <c r="F70" i="34"/>
  <c r="F56" i="34"/>
  <c r="F56" i="35"/>
  <c r="J46" i="34"/>
  <c r="L46" i="34" s="1"/>
  <c r="J46" i="35"/>
  <c r="L46" i="35" s="1"/>
  <c r="J53" i="35"/>
  <c r="L53" i="35" s="1"/>
  <c r="H53" i="35"/>
  <c r="F59" i="35"/>
  <c r="F59" i="34"/>
  <c r="J44" i="34"/>
  <c r="J44" i="35"/>
  <c r="F44" i="14"/>
  <c r="F44" i="34"/>
  <c r="F44" i="35"/>
  <c r="F57" i="16"/>
  <c r="J57" i="16" s="1"/>
  <c r="F57" i="35"/>
  <c r="F57" i="34"/>
  <c r="J70" i="35"/>
  <c r="J70" i="34"/>
  <c r="J53" i="34"/>
  <c r="L53" i="34" s="1"/>
  <c r="H53" i="34"/>
  <c r="F51" i="15"/>
  <c r="J51" i="15" s="1"/>
  <c r="F51" i="35"/>
  <c r="J51" i="35" s="1"/>
  <c r="F51" i="34"/>
  <c r="J51" i="34" s="1"/>
  <c r="F52" i="30"/>
  <c r="J52" i="30" s="1"/>
  <c r="F52" i="34"/>
  <c r="J52" i="34" s="1"/>
  <c r="F52" i="35"/>
  <c r="J52" i="35" s="1"/>
  <c r="F46" i="14"/>
  <c r="F46" i="34"/>
  <c r="H46" i="34" s="1"/>
  <c r="F46" i="35"/>
  <c r="H46" i="35" s="1"/>
  <c r="F58" i="34"/>
  <c r="F58" i="35"/>
  <c r="F45" i="21"/>
  <c r="F45" i="4"/>
  <c r="F71" i="20"/>
  <c r="G54" i="20" s="1"/>
  <c r="H54" i="20" s="1"/>
  <c r="G54" i="2"/>
  <c r="H54" i="2" s="1"/>
  <c r="G48" i="2"/>
  <c r="G54" i="11"/>
  <c r="H54" i="11" s="1"/>
  <c r="G48" i="11"/>
  <c r="G49" i="11" s="1"/>
  <c r="F45" i="11"/>
  <c r="F56" i="16"/>
  <c r="J56" i="16" s="1"/>
  <c r="K54" i="11"/>
  <c r="L54" i="11" s="1"/>
  <c r="K48" i="11"/>
  <c r="K49" i="11" s="1"/>
  <c r="K52" i="11" s="1"/>
  <c r="J53" i="20"/>
  <c r="J53" i="19"/>
  <c r="F58" i="26"/>
  <c r="J58" i="26" s="1"/>
  <c r="J58" i="7"/>
  <c r="F60" i="17"/>
  <c r="J60" i="17" s="1"/>
  <c r="J60" i="2"/>
  <c r="F59" i="26"/>
  <c r="J59" i="26" s="1"/>
  <c r="J59" i="7"/>
  <c r="F58" i="24"/>
  <c r="J58" i="24" s="1"/>
  <c r="J58" i="6"/>
  <c r="F57" i="5"/>
  <c r="F46" i="3"/>
  <c r="J57" i="3"/>
  <c r="F59" i="24"/>
  <c r="J59" i="24" s="1"/>
  <c r="J59" i="6"/>
  <c r="F46" i="9"/>
  <c r="J57" i="9"/>
  <c r="J46" i="9" s="1"/>
  <c r="F58" i="21"/>
  <c r="J58" i="21" s="1"/>
  <c r="J58" i="3"/>
  <c r="F60" i="24"/>
  <c r="J60" i="24" s="1"/>
  <c r="J60" i="6"/>
  <c r="F61" i="5"/>
  <c r="J61" i="5" s="1"/>
  <c r="J61" i="3"/>
  <c r="F59" i="17"/>
  <c r="J59" i="17" s="1"/>
  <c r="J59" i="2"/>
  <c r="F57" i="24"/>
  <c r="J57" i="6"/>
  <c r="F46" i="6"/>
  <c r="F46" i="10"/>
  <c r="J57" i="10"/>
  <c r="J46" i="10" s="1"/>
  <c r="F59" i="21"/>
  <c r="J59" i="21" s="1"/>
  <c r="J59" i="3"/>
  <c r="F61" i="24"/>
  <c r="J61" i="24" s="1"/>
  <c r="J61" i="6"/>
  <c r="F46" i="8"/>
  <c r="J57" i="8"/>
  <c r="J46" i="8" s="1"/>
  <c r="F58" i="17"/>
  <c r="J58" i="17" s="1"/>
  <c r="J58" i="2"/>
  <c r="F57" i="26"/>
  <c r="J57" i="7"/>
  <c r="F46" i="7"/>
  <c r="F60" i="26"/>
  <c r="J60" i="26" s="1"/>
  <c r="J60" i="7"/>
  <c r="F61" i="26"/>
  <c r="J61" i="26" s="1"/>
  <c r="J61" i="7"/>
  <c r="F56" i="19"/>
  <c r="F45" i="2"/>
  <c r="J56" i="2"/>
  <c r="F57" i="19"/>
  <c r="J57" i="19" s="1"/>
  <c r="J57" i="2"/>
  <c r="F60" i="21"/>
  <c r="J60" i="21" s="1"/>
  <c r="J60" i="3"/>
  <c r="F53" i="24"/>
  <c r="J53" i="24" s="1"/>
  <c r="J53" i="6"/>
  <c r="F53" i="5"/>
  <c r="J53" i="5" s="1"/>
  <c r="J53" i="3"/>
  <c r="F52" i="19"/>
  <c r="J52" i="19" s="1"/>
  <c r="J52" i="2"/>
  <c r="F53" i="26"/>
  <c r="J53" i="26" s="1"/>
  <c r="J53" i="7"/>
  <c r="F52" i="24"/>
  <c r="J52" i="24" s="1"/>
  <c r="J52" i="6"/>
  <c r="F52" i="5"/>
  <c r="J52" i="5" s="1"/>
  <c r="J52" i="3"/>
  <c r="F51" i="20"/>
  <c r="J51" i="20" s="1"/>
  <c r="J51" i="2"/>
  <c r="F52" i="26"/>
  <c r="J52" i="26" s="1"/>
  <c r="J52" i="7"/>
  <c r="J71" i="18"/>
  <c r="K54" i="18" s="1"/>
  <c r="L54" i="18" s="1"/>
  <c r="F59" i="15"/>
  <c r="J59" i="15" s="1"/>
  <c r="J59" i="11"/>
  <c r="F70" i="15"/>
  <c r="F70" i="12"/>
  <c r="J55" i="11"/>
  <c r="J44" i="13"/>
  <c r="J44" i="15"/>
  <c r="J44" i="16"/>
  <c r="J44" i="14"/>
  <c r="J44" i="1"/>
  <c r="J44" i="12"/>
  <c r="F56" i="12"/>
  <c r="J56" i="12" s="1"/>
  <c r="J56" i="11"/>
  <c r="J46" i="15"/>
  <c r="J46" i="1"/>
  <c r="J46" i="12"/>
  <c r="J46" i="16"/>
  <c r="J46" i="14"/>
  <c r="J46" i="13"/>
  <c r="F57" i="15"/>
  <c r="J57" i="15" s="1"/>
  <c r="J57" i="11"/>
  <c r="F58" i="14"/>
  <c r="J58" i="14" s="1"/>
  <c r="J58" i="11"/>
  <c r="F57" i="18"/>
  <c r="J57" i="18" s="1"/>
  <c r="J52" i="11"/>
  <c r="J51" i="11"/>
  <c r="F52" i="15"/>
  <c r="J52" i="15" s="1"/>
  <c r="F71" i="17"/>
  <c r="G54" i="17" s="1"/>
  <c r="H54" i="17" s="1"/>
  <c r="F55" i="30"/>
  <c r="F44" i="12"/>
  <c r="F52" i="4"/>
  <c r="J52" i="4" s="1"/>
  <c r="F55" i="12"/>
  <c r="F56" i="20"/>
  <c r="F44" i="1"/>
  <c r="F56" i="1"/>
  <c r="J56" i="1" s="1"/>
  <c r="F57" i="30"/>
  <c r="J57" i="30" s="1"/>
  <c r="F70" i="30"/>
  <c r="F71" i="19"/>
  <c r="G54" i="19" s="1"/>
  <c r="H54" i="19" s="1"/>
  <c r="F50" i="4"/>
  <c r="F52" i="13"/>
  <c r="J52" i="13" s="1"/>
  <c r="F55" i="15"/>
  <c r="F61" i="4"/>
  <c r="J61" i="4" s="1"/>
  <c r="F44" i="16"/>
  <c r="F72" i="4"/>
  <c r="F56" i="4"/>
  <c r="F44" i="30"/>
  <c r="F55" i="13"/>
  <c r="F51" i="17"/>
  <c r="J51" i="17" s="1"/>
  <c r="F72" i="21"/>
  <c r="F46" i="1"/>
  <c r="F70" i="14"/>
  <c r="F48" i="16"/>
  <c r="F52" i="18"/>
  <c r="J52" i="18" s="1"/>
  <c r="F53" i="21"/>
  <c r="J53" i="21" s="1"/>
  <c r="F57" i="12"/>
  <c r="J57" i="12" s="1"/>
  <c r="F48" i="1"/>
  <c r="F70" i="1"/>
  <c r="F55" i="18"/>
  <c r="J55" i="18" s="1"/>
  <c r="F57" i="20"/>
  <c r="J57" i="20" s="1"/>
  <c r="F56" i="21"/>
  <c r="F56" i="30"/>
  <c r="J56" i="30" s="1"/>
  <c r="F44" i="13"/>
  <c r="F55" i="1"/>
  <c r="F44" i="15"/>
  <c r="F56" i="18"/>
  <c r="F53" i="4"/>
  <c r="J53" i="4" s="1"/>
  <c r="F61" i="21"/>
  <c r="J61" i="21" s="1"/>
  <c r="F57" i="1"/>
  <c r="J57" i="1" s="1"/>
  <c r="F55" i="17"/>
  <c r="F44" i="20"/>
  <c r="F52" i="17"/>
  <c r="J52" i="17" s="1"/>
  <c r="F70" i="13"/>
  <c r="F52" i="20"/>
  <c r="J52" i="20" s="1"/>
  <c r="F50" i="21"/>
  <c r="F46" i="12"/>
  <c r="F57" i="14"/>
  <c r="J57" i="14" s="1"/>
  <c r="F48" i="12"/>
  <c r="F59" i="14"/>
  <c r="J59" i="14" s="1"/>
  <c r="F46" i="16"/>
  <c r="F44" i="18"/>
  <c r="F55" i="20"/>
  <c r="F52" i="21"/>
  <c r="J52" i="21" s="1"/>
  <c r="F49" i="14"/>
  <c r="F58" i="19"/>
  <c r="J58" i="19" s="1"/>
  <c r="F58" i="12"/>
  <c r="J58" i="12" s="1"/>
  <c r="F58" i="5"/>
  <c r="J58" i="5" s="1"/>
  <c r="F60" i="19"/>
  <c r="J60" i="19" s="1"/>
  <c r="F45" i="5"/>
  <c r="F56" i="15"/>
  <c r="J56" i="15" s="1"/>
  <c r="F51" i="19"/>
  <c r="J51" i="19" s="1"/>
  <c r="F59" i="12"/>
  <c r="J59" i="12" s="1"/>
  <c r="F58" i="18"/>
  <c r="J58" i="18" s="1"/>
  <c r="F59" i="5"/>
  <c r="J59" i="5" s="1"/>
  <c r="F46" i="30"/>
  <c r="F59" i="16"/>
  <c r="J59" i="16" s="1"/>
  <c r="F56" i="17"/>
  <c r="F48" i="18"/>
  <c r="F49" i="5"/>
  <c r="F58" i="30"/>
  <c r="J58" i="30" s="1"/>
  <c r="F52" i="12"/>
  <c r="J52" i="12" s="1"/>
  <c r="F46" i="13"/>
  <c r="F57" i="13"/>
  <c r="J57" i="13" s="1"/>
  <c r="F49" i="1"/>
  <c r="F59" i="1"/>
  <c r="J59" i="1" s="1"/>
  <c r="F55" i="14"/>
  <c r="F46" i="15"/>
  <c r="F51" i="16"/>
  <c r="J51" i="16" s="1"/>
  <c r="F70" i="16"/>
  <c r="F44" i="17"/>
  <c r="F57" i="17"/>
  <c r="J57" i="17" s="1"/>
  <c r="F49" i="18"/>
  <c r="F60" i="18"/>
  <c r="J60" i="18" s="1"/>
  <c r="F46" i="20"/>
  <c r="F58" i="20"/>
  <c r="J58" i="20" s="1"/>
  <c r="F57" i="4"/>
  <c r="F57" i="21"/>
  <c r="F59" i="19"/>
  <c r="J59" i="19" s="1"/>
  <c r="F49" i="12"/>
  <c r="F52" i="14"/>
  <c r="J52" i="14" s="1"/>
  <c r="F58" i="16"/>
  <c r="J58" i="16" s="1"/>
  <c r="F46" i="18"/>
  <c r="F49" i="19"/>
  <c r="F51" i="12"/>
  <c r="J51" i="12" s="1"/>
  <c r="F56" i="13"/>
  <c r="J56" i="13" s="1"/>
  <c r="F58" i="1"/>
  <c r="J58" i="1" s="1"/>
  <c r="F49" i="16"/>
  <c r="F59" i="18"/>
  <c r="J59" i="18" s="1"/>
  <c r="F60" i="5"/>
  <c r="J60" i="5" s="1"/>
  <c r="F48" i="30"/>
  <c r="F49" i="30"/>
  <c r="F59" i="30"/>
  <c r="J59" i="30" s="1"/>
  <c r="F48" i="13"/>
  <c r="F58" i="13"/>
  <c r="J58" i="13" s="1"/>
  <c r="F51" i="1"/>
  <c r="J51" i="1" s="1"/>
  <c r="F56" i="14"/>
  <c r="J56" i="14" s="1"/>
  <c r="F48" i="15"/>
  <c r="F58" i="15"/>
  <c r="J58" i="15" s="1"/>
  <c r="F52" i="16"/>
  <c r="J52" i="16" s="1"/>
  <c r="F46" i="17"/>
  <c r="F51" i="18"/>
  <c r="J51" i="18" s="1"/>
  <c r="F71" i="18"/>
  <c r="G54" i="18" s="1"/>
  <c r="H54" i="18" s="1"/>
  <c r="F48" i="20"/>
  <c r="F59" i="20"/>
  <c r="J59" i="20" s="1"/>
  <c r="F58" i="4"/>
  <c r="J58" i="4" s="1"/>
  <c r="F51" i="14"/>
  <c r="J51" i="14" s="1"/>
  <c r="F48" i="19"/>
  <c r="F51" i="30"/>
  <c r="J51" i="30" s="1"/>
  <c r="F49" i="13"/>
  <c r="F59" i="13"/>
  <c r="J59" i="13" s="1"/>
  <c r="F52" i="1"/>
  <c r="J52" i="1" s="1"/>
  <c r="F49" i="20"/>
  <c r="F60" i="20"/>
  <c r="J60" i="20" s="1"/>
  <c r="F59" i="4"/>
  <c r="J59" i="4" s="1"/>
  <c r="F51" i="13"/>
  <c r="J51" i="13" s="1"/>
  <c r="F49" i="4"/>
  <c r="F60" i="4"/>
  <c r="J60" i="4" s="1"/>
  <c r="N53" i="34" l="1"/>
  <c r="O53" i="34" s="1"/>
  <c r="N46" i="34"/>
  <c r="J56" i="34"/>
  <c r="H56" i="34"/>
  <c r="F45" i="34"/>
  <c r="K48" i="34"/>
  <c r="K44" i="34"/>
  <c r="L44" i="34" s="1"/>
  <c r="K54" i="34"/>
  <c r="L54" i="34" s="1"/>
  <c r="K45" i="34"/>
  <c r="J56" i="35"/>
  <c r="H56" i="35"/>
  <c r="F45" i="35"/>
  <c r="J59" i="34"/>
  <c r="L59" i="34" s="1"/>
  <c r="H59" i="34"/>
  <c r="G45" i="35"/>
  <c r="G48" i="35"/>
  <c r="G44" i="35"/>
  <c r="H44" i="35" s="1"/>
  <c r="G54" i="35"/>
  <c r="H54" i="35" s="1"/>
  <c r="J58" i="34"/>
  <c r="L58" i="34" s="1"/>
  <c r="H58" i="34"/>
  <c r="J57" i="34"/>
  <c r="L57" i="34" s="1"/>
  <c r="H57" i="34"/>
  <c r="J58" i="35"/>
  <c r="L58" i="35" s="1"/>
  <c r="H58" i="35"/>
  <c r="J59" i="35"/>
  <c r="L59" i="35" s="1"/>
  <c r="H59" i="35"/>
  <c r="N53" i="35"/>
  <c r="O53" i="35" s="1"/>
  <c r="K44" i="35"/>
  <c r="L44" i="35" s="1"/>
  <c r="K54" i="35"/>
  <c r="L54" i="35" s="1"/>
  <c r="K45" i="35"/>
  <c r="K48" i="35"/>
  <c r="G54" i="34"/>
  <c r="H54" i="34" s="1"/>
  <c r="G48" i="34"/>
  <c r="G45" i="34"/>
  <c r="G44" i="34"/>
  <c r="H44" i="34" s="1"/>
  <c r="J57" i="35"/>
  <c r="L57" i="35" s="1"/>
  <c r="H57" i="35"/>
  <c r="O46" i="34"/>
  <c r="N46" i="35"/>
  <c r="O46" i="35" s="1"/>
  <c r="J46" i="7"/>
  <c r="J45" i="2"/>
  <c r="G48" i="30"/>
  <c r="G54" i="30"/>
  <c r="H54" i="30" s="1"/>
  <c r="G54" i="16"/>
  <c r="H54" i="16" s="1"/>
  <c r="G48" i="16"/>
  <c r="G54" i="12"/>
  <c r="H54" i="12" s="1"/>
  <c r="G48" i="12"/>
  <c r="G54" i="14"/>
  <c r="H54" i="14" s="1"/>
  <c r="G48" i="14"/>
  <c r="G54" i="13"/>
  <c r="H54" i="13" s="1"/>
  <c r="G48" i="13"/>
  <c r="G54" i="15"/>
  <c r="H54" i="15" s="1"/>
  <c r="G48" i="15"/>
  <c r="G54" i="1"/>
  <c r="H54" i="1" s="1"/>
  <c r="G48" i="1"/>
  <c r="F45" i="17"/>
  <c r="J56" i="17"/>
  <c r="J45" i="17" s="1"/>
  <c r="J57" i="26"/>
  <c r="J46" i="26" s="1"/>
  <c r="F46" i="26"/>
  <c r="J56" i="20"/>
  <c r="J45" i="20" s="1"/>
  <c r="F45" i="20"/>
  <c r="F46" i="24"/>
  <c r="J57" i="24"/>
  <c r="J46" i="24" s="1"/>
  <c r="J56" i="18"/>
  <c r="J45" i="18" s="1"/>
  <c r="F45" i="18"/>
  <c r="J45" i="11"/>
  <c r="J56" i="19"/>
  <c r="J45" i="19" s="1"/>
  <c r="F45" i="19"/>
  <c r="F46" i="21"/>
  <c r="J57" i="21"/>
  <c r="J46" i="21" s="1"/>
  <c r="J57" i="4"/>
  <c r="J46" i="4" s="1"/>
  <c r="F46" i="4"/>
  <c r="J46" i="6"/>
  <c r="J46" i="3"/>
  <c r="J57" i="5"/>
  <c r="J46" i="5" s="1"/>
  <c r="F46" i="5"/>
  <c r="J55" i="15"/>
  <c r="J45" i="15" s="1"/>
  <c r="F45" i="15"/>
  <c r="F45" i="16"/>
  <c r="J55" i="16"/>
  <c r="J45" i="16" s="1"/>
  <c r="F45" i="14"/>
  <c r="J55" i="14"/>
  <c r="J45" i="14" s="1"/>
  <c r="J55" i="12"/>
  <c r="J45" i="12" s="1"/>
  <c r="F45" i="12"/>
  <c r="F45" i="13"/>
  <c r="J55" i="13"/>
  <c r="J45" i="13" s="1"/>
  <c r="J55" i="1"/>
  <c r="J45" i="1" s="1"/>
  <c r="F45" i="1"/>
  <c r="J55" i="30"/>
  <c r="J45" i="30" s="1"/>
  <c r="F45" i="30"/>
  <c r="H45" i="35" l="1"/>
  <c r="H47" i="35" s="1"/>
  <c r="N44" i="34"/>
  <c r="O44" i="34" s="1"/>
  <c r="G49" i="34"/>
  <c r="H48" i="34"/>
  <c r="L56" i="35"/>
  <c r="N56" i="35" s="1"/>
  <c r="O56" i="35" s="1"/>
  <c r="J45" i="35"/>
  <c r="L45" i="35" s="1"/>
  <c r="N59" i="35"/>
  <c r="O59" i="35" s="1"/>
  <c r="N57" i="34"/>
  <c r="O57" i="34" s="1"/>
  <c r="N57" i="35"/>
  <c r="O57" i="35" s="1"/>
  <c r="N44" i="35"/>
  <c r="O44" i="35" s="1"/>
  <c r="N59" i="34"/>
  <c r="O59" i="34" s="1"/>
  <c r="N58" i="35"/>
  <c r="O58" i="35" s="1"/>
  <c r="L48" i="35"/>
  <c r="K49" i="35"/>
  <c r="H48" i="35"/>
  <c r="G49" i="35"/>
  <c r="L48" i="34"/>
  <c r="K49" i="34"/>
  <c r="H45" i="34"/>
  <c r="H47" i="34" s="1"/>
  <c r="N58" i="34"/>
  <c r="O58" i="34" s="1"/>
  <c r="J45" i="34"/>
  <c r="L45" i="34" s="1"/>
  <c r="L56" i="34"/>
  <c r="N56" i="34" s="1"/>
  <c r="O56" i="34" s="1"/>
  <c r="K43" i="9"/>
  <c r="K43" i="10"/>
  <c r="K43" i="24"/>
  <c r="K43" i="6"/>
  <c r="K43" i="5"/>
  <c r="K43" i="3"/>
  <c r="K43" i="4"/>
  <c r="G43" i="4"/>
  <c r="G43" i="3"/>
  <c r="H43" i="3" s="1"/>
  <c r="N45" i="35" l="1"/>
  <c r="O45" i="35" s="1"/>
  <c r="N48" i="34"/>
  <c r="O48" i="34" s="1"/>
  <c r="N45" i="34"/>
  <c r="O45" i="34" s="1"/>
  <c r="H49" i="35"/>
  <c r="H50" i="35" s="1"/>
  <c r="G52" i="35"/>
  <c r="H52" i="35" s="1"/>
  <c r="G51" i="35"/>
  <c r="H51" i="35" s="1"/>
  <c r="K52" i="35"/>
  <c r="L52" i="35" s="1"/>
  <c r="K51" i="35"/>
  <c r="L51" i="35" s="1"/>
  <c r="L49" i="35"/>
  <c r="N48" i="35"/>
  <c r="O48" i="35" s="1"/>
  <c r="K51" i="34"/>
  <c r="L51" i="34" s="1"/>
  <c r="L49" i="34"/>
  <c r="K52" i="34"/>
  <c r="L52" i="34" s="1"/>
  <c r="G51" i="34"/>
  <c r="H51" i="34" s="1"/>
  <c r="H49" i="34"/>
  <c r="H50" i="34" s="1"/>
  <c r="G52" i="34"/>
  <c r="H52" i="34" s="1"/>
  <c r="J43" i="10"/>
  <c r="J43" i="9"/>
  <c r="J43" i="8"/>
  <c r="J43" i="7"/>
  <c r="J43" i="26" s="1"/>
  <c r="J43" i="6"/>
  <c r="J43" i="24" s="1"/>
  <c r="J43" i="3"/>
  <c r="J43" i="5" s="1"/>
  <c r="J42" i="2"/>
  <c r="J42" i="19" s="1"/>
  <c r="B43" i="8"/>
  <c r="B43" i="9" s="1"/>
  <c r="B43" i="10" s="1"/>
  <c r="B43" i="7"/>
  <c r="B43" i="26" s="1"/>
  <c r="B43" i="24"/>
  <c r="B42" i="24"/>
  <c r="B43" i="6"/>
  <c r="B42" i="6"/>
  <c r="B43" i="21"/>
  <c r="B42" i="21"/>
  <c r="B43" i="5"/>
  <c r="B42" i="5"/>
  <c r="B43" i="4"/>
  <c r="B42" i="20"/>
  <c r="B42" i="19"/>
  <c r="B42" i="18"/>
  <c r="B42" i="17"/>
  <c r="B42" i="2"/>
  <c r="B42" i="16"/>
  <c r="B42" i="15"/>
  <c r="B42" i="14"/>
  <c r="B42" i="1"/>
  <c r="J42" i="11"/>
  <c r="N52" i="35" l="1"/>
  <c r="O52" i="35" s="1"/>
  <c r="N49" i="35"/>
  <c r="O49" i="35" s="1"/>
  <c r="H61" i="34"/>
  <c r="H65" i="34"/>
  <c r="N51" i="35"/>
  <c r="O51" i="35" s="1"/>
  <c r="N49" i="34"/>
  <c r="O49" i="34" s="1"/>
  <c r="N51" i="34"/>
  <c r="O51" i="34" s="1"/>
  <c r="H61" i="35"/>
  <c r="H65" i="35"/>
  <c r="H66" i="35" s="1"/>
  <c r="H67" i="35" s="1"/>
  <c r="N52" i="34"/>
  <c r="O52" i="34" s="1"/>
  <c r="J42" i="35"/>
  <c r="L42" i="35" s="1"/>
  <c r="N42" i="35" s="1"/>
  <c r="O42" i="35" s="1"/>
  <c r="J42" i="34"/>
  <c r="L42" i="34" s="1"/>
  <c r="N42" i="34" s="1"/>
  <c r="O42" i="34" s="1"/>
  <c r="J43" i="21"/>
  <c r="J42" i="30"/>
  <c r="J42" i="1"/>
  <c r="J42" i="18"/>
  <c r="J43" i="4"/>
  <c r="J42" i="20"/>
  <c r="J42" i="17"/>
  <c r="J42" i="14"/>
  <c r="J42" i="12"/>
  <c r="J42" i="15"/>
  <c r="J42" i="13"/>
  <c r="J42" i="16"/>
  <c r="J72" i="10"/>
  <c r="J72" i="9"/>
  <c r="J72" i="8"/>
  <c r="J72" i="24"/>
  <c r="J72" i="6"/>
  <c r="J72" i="21"/>
  <c r="J72" i="5"/>
  <c r="J72" i="4"/>
  <c r="J72" i="3"/>
  <c r="J71" i="20"/>
  <c r="K54" i="20" s="1"/>
  <c r="L54" i="20" s="1"/>
  <c r="J71" i="19"/>
  <c r="K54" i="19" s="1"/>
  <c r="L54" i="19" s="1"/>
  <c r="J71" i="17"/>
  <c r="K54" i="17" s="1"/>
  <c r="L54" i="17" s="1"/>
  <c r="J71" i="2"/>
  <c r="J70" i="16"/>
  <c r="J70" i="15"/>
  <c r="K54" i="15" s="1"/>
  <c r="L54" i="15" s="1"/>
  <c r="J70" i="14"/>
  <c r="K54" i="14" s="1"/>
  <c r="L54" i="14" s="1"/>
  <c r="J70" i="1"/>
  <c r="K54" i="1" s="1"/>
  <c r="L54" i="1" s="1"/>
  <c r="J70" i="13"/>
  <c r="K54" i="13" s="1"/>
  <c r="L54" i="13" s="1"/>
  <c r="J70" i="12"/>
  <c r="K54" i="12" s="1"/>
  <c r="L54" i="12" s="1"/>
  <c r="N54" i="12" s="1"/>
  <c r="O54" i="12" s="1"/>
  <c r="J70" i="30"/>
  <c r="K54" i="30" s="1"/>
  <c r="L54" i="30" s="1"/>
  <c r="H73" i="35" l="1"/>
  <c r="H62" i="35"/>
  <c r="H63" i="35" s="1"/>
  <c r="H66" i="34"/>
  <c r="H62" i="34"/>
  <c r="H63" i="34" s="1"/>
  <c r="H73" i="34"/>
  <c r="K54" i="2"/>
  <c r="L54" i="2" s="1"/>
  <c r="K54" i="16"/>
  <c r="L54" i="16" s="1"/>
  <c r="G41" i="10"/>
  <c r="J42" i="10"/>
  <c r="J41" i="10"/>
  <c r="J40" i="10"/>
  <c r="K41" i="10"/>
  <c r="J31" i="10"/>
  <c r="J29" i="10"/>
  <c r="J23" i="10"/>
  <c r="K41" i="9"/>
  <c r="G41" i="9"/>
  <c r="J41" i="9"/>
  <c r="J40" i="9"/>
  <c r="J29" i="9"/>
  <c r="J23" i="9"/>
  <c r="J41" i="8"/>
  <c r="J40" i="8"/>
  <c r="B42" i="8"/>
  <c r="B42" i="9" s="1"/>
  <c r="B42" i="10" s="1"/>
  <c r="B41" i="8"/>
  <c r="B41" i="9" s="1"/>
  <c r="B41" i="10" s="1"/>
  <c r="B40" i="8"/>
  <c r="B40" i="9" s="1"/>
  <c r="B40" i="10" s="1"/>
  <c r="J31" i="8"/>
  <c r="J29" i="8"/>
  <c r="J23" i="8"/>
  <c r="G41" i="26"/>
  <c r="K43" i="26" s="1"/>
  <c r="J42" i="7"/>
  <c r="J42" i="26" s="1"/>
  <c r="J41" i="7"/>
  <c r="J41" i="26" s="1"/>
  <c r="J40" i="7"/>
  <c r="J40" i="26" s="1"/>
  <c r="G41" i="7"/>
  <c r="K43" i="7" s="1"/>
  <c r="D42" i="7"/>
  <c r="D41" i="7"/>
  <c r="D41" i="26" s="1"/>
  <c r="D40" i="7"/>
  <c r="D40" i="26" s="1"/>
  <c r="B42" i="7"/>
  <c r="B42" i="26" s="1"/>
  <c r="B41" i="7"/>
  <c r="B41" i="26" s="1"/>
  <c r="B40" i="7"/>
  <c r="B40" i="26" s="1"/>
  <c r="J31" i="7"/>
  <c r="J29" i="7"/>
  <c r="J23" i="7"/>
  <c r="G41" i="24"/>
  <c r="J42" i="6"/>
  <c r="J42" i="24" s="1"/>
  <c r="J41" i="6"/>
  <c r="J41" i="24" s="1"/>
  <c r="J40" i="6"/>
  <c r="J40" i="24" s="1"/>
  <c r="G41" i="6"/>
  <c r="D42" i="6"/>
  <c r="D42" i="24" s="1"/>
  <c r="D41" i="6"/>
  <c r="D41" i="24" s="1"/>
  <c r="D40" i="6"/>
  <c r="D40" i="24" s="1"/>
  <c r="B41" i="6"/>
  <c r="B41" i="24" s="1"/>
  <c r="B40" i="6"/>
  <c r="B40" i="24" s="1"/>
  <c r="J31" i="6"/>
  <c r="J29" i="6"/>
  <c r="J23" i="6"/>
  <c r="G41" i="21"/>
  <c r="K43" i="21" s="1"/>
  <c r="G41" i="5"/>
  <c r="K41" i="5" s="1"/>
  <c r="G41" i="4"/>
  <c r="K41" i="4" s="1"/>
  <c r="G41" i="3"/>
  <c r="K40" i="4"/>
  <c r="K42" i="4"/>
  <c r="K40" i="5"/>
  <c r="D42" i="4"/>
  <c r="D41" i="4"/>
  <c r="D40" i="4"/>
  <c r="B42" i="4"/>
  <c r="B41" i="4"/>
  <c r="B40" i="4"/>
  <c r="J42" i="3"/>
  <c r="J41" i="3"/>
  <c r="J41" i="4" s="1"/>
  <c r="J40" i="3"/>
  <c r="J40" i="4" s="1"/>
  <c r="J31" i="3"/>
  <c r="J29" i="3"/>
  <c r="J23" i="3"/>
  <c r="J41" i="2"/>
  <c r="J41" i="19" s="1"/>
  <c r="J40" i="2"/>
  <c r="J40" i="20" s="1"/>
  <c r="J31" i="2"/>
  <c r="J31" i="20" s="1"/>
  <c r="H74" i="34" l="1"/>
  <c r="H75" i="34" s="1"/>
  <c r="H67" i="34"/>
  <c r="H74" i="35"/>
  <c r="H75" i="35" s="1"/>
  <c r="J42" i="4"/>
  <c r="J42" i="5"/>
  <c r="J42" i="21"/>
  <c r="J31" i="18"/>
  <c r="J40" i="18"/>
  <c r="J40" i="17"/>
  <c r="J41" i="18"/>
  <c r="J41" i="17"/>
  <c r="J41" i="20"/>
  <c r="J31" i="19"/>
  <c r="J40" i="19"/>
  <c r="G59" i="30" l="1"/>
  <c r="G58" i="30"/>
  <c r="H58" i="30" s="1"/>
  <c r="L53" i="30"/>
  <c r="H53" i="30"/>
  <c r="K48" i="30"/>
  <c r="K49" i="30" s="1"/>
  <c r="K51" i="30" s="1"/>
  <c r="L51" i="30" s="1"/>
  <c r="G49" i="30"/>
  <c r="H49" i="30" s="1"/>
  <c r="L46" i="30"/>
  <c r="H46" i="30"/>
  <c r="K45" i="30"/>
  <c r="G45" i="30"/>
  <c r="K44" i="30"/>
  <c r="L44" i="30" s="1"/>
  <c r="G44" i="30"/>
  <c r="H44" i="30" s="1"/>
  <c r="K43" i="30"/>
  <c r="L43" i="30" s="1"/>
  <c r="G43" i="30"/>
  <c r="H43" i="30" s="1"/>
  <c r="O43" i="30" s="1"/>
  <c r="K42" i="30"/>
  <c r="L42" i="30" s="1"/>
  <c r="G42" i="30"/>
  <c r="H42" i="30" s="1"/>
  <c r="H41" i="30"/>
  <c r="K40" i="30"/>
  <c r="G40" i="30"/>
  <c r="H40" i="30" s="1"/>
  <c r="B40" i="30"/>
  <c r="K38" i="30"/>
  <c r="L38" i="30" s="1"/>
  <c r="G38" i="30"/>
  <c r="H38" i="30" s="1"/>
  <c r="O38" i="30" s="1"/>
  <c r="K37" i="30"/>
  <c r="L37" i="30" s="1"/>
  <c r="G37" i="30"/>
  <c r="H37" i="30" s="1"/>
  <c r="O37" i="30" s="1"/>
  <c r="K36" i="30"/>
  <c r="L36" i="30" s="1"/>
  <c r="G36" i="30"/>
  <c r="H36" i="30" s="1"/>
  <c r="O36" i="30" s="1"/>
  <c r="K35" i="30"/>
  <c r="L35" i="30" s="1"/>
  <c r="G35" i="30"/>
  <c r="H35" i="30" s="1"/>
  <c r="O35" i="30" s="1"/>
  <c r="K34" i="30"/>
  <c r="L34" i="30" s="1"/>
  <c r="G34" i="30"/>
  <c r="H34" i="30" s="1"/>
  <c r="O34" i="30" s="1"/>
  <c r="K33" i="30"/>
  <c r="L33" i="30" s="1"/>
  <c r="G33" i="30"/>
  <c r="H33" i="30" s="1"/>
  <c r="K32" i="30"/>
  <c r="L32" i="30" s="1"/>
  <c r="G32" i="30"/>
  <c r="H32" i="30" s="1"/>
  <c r="O32" i="30" s="1"/>
  <c r="K31" i="30"/>
  <c r="G31" i="30"/>
  <c r="F31" i="30"/>
  <c r="H31" i="30" s="1"/>
  <c r="K30" i="30"/>
  <c r="L30" i="30" s="1"/>
  <c r="G30" i="30"/>
  <c r="H30" i="30" s="1"/>
  <c r="O30" i="30" s="1"/>
  <c r="K29" i="30"/>
  <c r="G29" i="30"/>
  <c r="F29" i="30"/>
  <c r="L28" i="30"/>
  <c r="H28" i="30"/>
  <c r="L27" i="30"/>
  <c r="H27" i="30"/>
  <c r="L26" i="30"/>
  <c r="H26" i="30"/>
  <c r="L25" i="30"/>
  <c r="H25" i="30"/>
  <c r="O25" i="30" s="1"/>
  <c r="L24" i="30"/>
  <c r="H24" i="30"/>
  <c r="F23" i="30"/>
  <c r="H23" i="30" s="1"/>
  <c r="B41" i="20"/>
  <c r="B40" i="20"/>
  <c r="B41" i="19"/>
  <c r="B40" i="19"/>
  <c r="B41" i="18"/>
  <c r="B40" i="18"/>
  <c r="B41" i="17"/>
  <c r="B40" i="17"/>
  <c r="B41" i="2"/>
  <c r="B40" i="2"/>
  <c r="B41" i="16"/>
  <c r="B40" i="16"/>
  <c r="B41" i="15"/>
  <c r="B40" i="15"/>
  <c r="B41" i="14"/>
  <c r="B40" i="14"/>
  <c r="B41" i="1"/>
  <c r="B40" i="1"/>
  <c r="B41" i="13"/>
  <c r="B40" i="13"/>
  <c r="B41" i="12"/>
  <c r="B40" i="12"/>
  <c r="J41" i="11"/>
  <c r="J40" i="11"/>
  <c r="J41" i="35" l="1"/>
  <c r="L41" i="35" s="1"/>
  <c r="N41" i="35" s="1"/>
  <c r="O41" i="35" s="1"/>
  <c r="J41" i="34"/>
  <c r="L41" i="34" s="1"/>
  <c r="N41" i="34" s="1"/>
  <c r="O41" i="34" s="1"/>
  <c r="J40" i="34"/>
  <c r="L40" i="34" s="1"/>
  <c r="J40" i="35"/>
  <c r="L40" i="35" s="1"/>
  <c r="N28" i="30"/>
  <c r="N24" i="30"/>
  <c r="N26" i="30"/>
  <c r="N27" i="30"/>
  <c r="O24" i="30"/>
  <c r="N25" i="30"/>
  <c r="O27" i="30"/>
  <c r="O26" i="30"/>
  <c r="O28" i="30"/>
  <c r="H45" i="30"/>
  <c r="J40" i="13"/>
  <c r="J40" i="1"/>
  <c r="J41" i="16"/>
  <c r="J41" i="1"/>
  <c r="H29" i="30"/>
  <c r="D26" i="28" s="1"/>
  <c r="L48" i="30"/>
  <c r="J41" i="13"/>
  <c r="J41" i="14"/>
  <c r="J40" i="12"/>
  <c r="J40" i="15"/>
  <c r="J40" i="30"/>
  <c r="L40" i="30" s="1"/>
  <c r="J41" i="12"/>
  <c r="J40" i="14"/>
  <c r="J41" i="15"/>
  <c r="J41" i="30"/>
  <c r="L41" i="30" s="1"/>
  <c r="N41" i="30" s="1"/>
  <c r="O41" i="30" s="1"/>
  <c r="J40" i="16"/>
  <c r="K58" i="30"/>
  <c r="L58" i="30" s="1"/>
  <c r="N58" i="30" s="1"/>
  <c r="O58" i="30" s="1"/>
  <c r="H59" i="30"/>
  <c r="L45" i="30"/>
  <c r="H48" i="30"/>
  <c r="K59" i="30"/>
  <c r="L59" i="30" s="1"/>
  <c r="N37" i="30"/>
  <c r="N33" i="30"/>
  <c r="O33" i="30"/>
  <c r="N32" i="30"/>
  <c r="N36" i="30"/>
  <c r="N44" i="30"/>
  <c r="O44" i="30" s="1"/>
  <c r="N46" i="30"/>
  <c r="O46" i="30" s="1"/>
  <c r="K55" i="30"/>
  <c r="L55" i="30" s="1"/>
  <c r="H55" i="30"/>
  <c r="N30" i="30"/>
  <c r="N35" i="30"/>
  <c r="N43" i="30"/>
  <c r="N34" i="30"/>
  <c r="N38" i="30"/>
  <c r="N42" i="30"/>
  <c r="O42" i="30" s="1"/>
  <c r="K52" i="30"/>
  <c r="L52" i="30" s="1"/>
  <c r="L49" i="30"/>
  <c r="G52" i="30"/>
  <c r="H52" i="30" s="1"/>
  <c r="G51" i="30"/>
  <c r="H51" i="30" s="1"/>
  <c r="N51" i="30" s="1"/>
  <c r="H56" i="30"/>
  <c r="K56" i="30"/>
  <c r="L56" i="30" s="1"/>
  <c r="K57" i="30"/>
  <c r="L57" i="30" s="1"/>
  <c r="H57" i="30"/>
  <c r="N53" i="30"/>
  <c r="O53" i="30" s="1"/>
  <c r="J31" i="11"/>
  <c r="N40" i="34" l="1"/>
  <c r="O40" i="34" s="1"/>
  <c r="J31" i="35"/>
  <c r="L31" i="35" s="1"/>
  <c r="J31" i="34"/>
  <c r="L31" i="34" s="1"/>
  <c r="N40" i="35"/>
  <c r="O40" i="35" s="1"/>
  <c r="N45" i="30"/>
  <c r="O45" i="30" s="1"/>
  <c r="N48" i="30"/>
  <c r="O48" i="30" s="1"/>
  <c r="H39" i="30"/>
  <c r="H47" i="30" s="1"/>
  <c r="H50" i="30" s="1"/>
  <c r="H61" i="30" s="1"/>
  <c r="H73" i="30" s="1"/>
  <c r="N40" i="30"/>
  <c r="O40" i="30" s="1"/>
  <c r="J31" i="30"/>
  <c r="L31" i="30" s="1"/>
  <c r="J31" i="15"/>
  <c r="J31" i="13"/>
  <c r="J31" i="16"/>
  <c r="J31" i="1"/>
  <c r="J31" i="14"/>
  <c r="N59" i="30"/>
  <c r="O59" i="30" s="1"/>
  <c r="N49" i="30"/>
  <c r="O49" i="30" s="1"/>
  <c r="N55" i="30"/>
  <c r="O55" i="30" s="1"/>
  <c r="N57" i="30"/>
  <c r="O57" i="30" s="1"/>
  <c r="N52" i="30"/>
  <c r="O52" i="30" s="1"/>
  <c r="O51" i="30"/>
  <c r="N56" i="30"/>
  <c r="O56" i="30" s="1"/>
  <c r="N31" i="35" l="1"/>
  <c r="O31" i="35" s="1"/>
  <c r="N31" i="34"/>
  <c r="O31" i="34" s="1"/>
  <c r="N31" i="30"/>
  <c r="O31" i="30" s="1"/>
  <c r="H65" i="30"/>
  <c r="H74" i="30" l="1"/>
  <c r="H75" i="30" s="1"/>
  <c r="H66" i="30"/>
  <c r="H67" i="30" s="1"/>
  <c r="H62" i="30"/>
  <c r="H63" i="30" l="1"/>
  <c r="J29" i="2" l="1"/>
  <c r="J23" i="2"/>
  <c r="J23" i="19" l="1"/>
  <c r="J23" i="18"/>
  <c r="J23" i="20"/>
  <c r="J29" i="18"/>
  <c r="J29" i="20"/>
  <c r="J29" i="19"/>
  <c r="J29" i="11"/>
  <c r="J23" i="11"/>
  <c r="J23" i="34" l="1"/>
  <c r="L23" i="34" s="1"/>
  <c r="J23" i="35"/>
  <c r="L23" i="35" s="1"/>
  <c r="J29" i="35"/>
  <c r="L29" i="35" s="1"/>
  <c r="N29" i="35" s="1"/>
  <c r="O29" i="35" s="1"/>
  <c r="J29" i="34"/>
  <c r="L29" i="34" s="1"/>
  <c r="N29" i="34" s="1"/>
  <c r="O29" i="34" s="1"/>
  <c r="J29" i="30"/>
  <c r="L29" i="30" s="1"/>
  <c r="N29" i="30" s="1"/>
  <c r="O29" i="30" s="1"/>
  <c r="J29" i="16"/>
  <c r="J23" i="16"/>
  <c r="J23" i="30"/>
  <c r="L23" i="30" s="1"/>
  <c r="J41" i="21"/>
  <c r="J40" i="21"/>
  <c r="J41" i="5"/>
  <c r="J40" i="5"/>
  <c r="J31" i="26"/>
  <c r="J29" i="26"/>
  <c r="J23" i="26"/>
  <c r="F31" i="26"/>
  <c r="F29" i="26"/>
  <c r="F23" i="26"/>
  <c r="J31" i="24"/>
  <c r="J29" i="24"/>
  <c r="J23" i="24"/>
  <c r="F31" i="24"/>
  <c r="F29" i="24"/>
  <c r="F23" i="24"/>
  <c r="J31" i="21"/>
  <c r="J29" i="21"/>
  <c r="J23" i="21"/>
  <c r="F31" i="21"/>
  <c r="F29" i="21"/>
  <c r="F23" i="21"/>
  <c r="J31" i="5"/>
  <c r="J29" i="5"/>
  <c r="J23" i="5"/>
  <c r="F31" i="5"/>
  <c r="F29" i="5"/>
  <c r="F23" i="5"/>
  <c r="J31" i="4"/>
  <c r="J29" i="4"/>
  <c r="J23" i="4"/>
  <c r="F31" i="4"/>
  <c r="F29" i="4"/>
  <c r="F23" i="4"/>
  <c r="F31" i="20"/>
  <c r="F29" i="20"/>
  <c r="F23" i="20"/>
  <c r="F31" i="19"/>
  <c r="F29" i="19"/>
  <c r="F23" i="19"/>
  <c r="F31" i="18"/>
  <c r="F29" i="18"/>
  <c r="F23" i="18"/>
  <c r="J31" i="17"/>
  <c r="J29" i="17"/>
  <c r="J23" i="17"/>
  <c r="F31" i="17"/>
  <c r="F29" i="17"/>
  <c r="F23" i="17"/>
  <c r="E21" i="28" l="1"/>
  <c r="N23" i="35"/>
  <c r="L39" i="35"/>
  <c r="E16" i="28"/>
  <c r="L39" i="34"/>
  <c r="N23" i="34"/>
  <c r="E26" i="28"/>
  <c r="L39" i="30"/>
  <c r="N23" i="30"/>
  <c r="E27" i="28" s="1"/>
  <c r="J29" i="15"/>
  <c r="J23" i="15"/>
  <c r="F31" i="15"/>
  <c r="F29" i="15"/>
  <c r="F23" i="15"/>
  <c r="J29" i="14"/>
  <c r="J23" i="14"/>
  <c r="F31" i="14"/>
  <c r="F29" i="14"/>
  <c r="F23" i="14"/>
  <c r="J29" i="1"/>
  <c r="J23" i="1"/>
  <c r="F31" i="1"/>
  <c r="F29" i="1"/>
  <c r="F23" i="1"/>
  <c r="J29" i="13"/>
  <c r="J23" i="13"/>
  <c r="F31" i="13"/>
  <c r="F29" i="13"/>
  <c r="F23" i="13"/>
  <c r="J31" i="12"/>
  <c r="J29" i="12"/>
  <c r="J23" i="12"/>
  <c r="F31" i="12"/>
  <c r="F29" i="12"/>
  <c r="F23" i="12"/>
  <c r="E17" i="28" l="1"/>
  <c r="E18" i="28" s="1"/>
  <c r="O23" i="34"/>
  <c r="N39" i="35"/>
  <c r="O39" i="35" s="1"/>
  <c r="L47" i="35"/>
  <c r="O23" i="35"/>
  <c r="E22" i="28"/>
  <c r="E23" i="28" s="1"/>
  <c r="N39" i="34"/>
  <c r="O39" i="34" s="1"/>
  <c r="L47" i="34"/>
  <c r="O23" i="30"/>
  <c r="N39" i="30"/>
  <c r="O39" i="30" s="1"/>
  <c r="L47" i="30"/>
  <c r="N47" i="34" l="1"/>
  <c r="O47" i="34" s="1"/>
  <c r="L50" i="34"/>
  <c r="L61" i="34" s="1"/>
  <c r="N47" i="35"/>
  <c r="O47" i="35" s="1"/>
  <c r="L50" i="35"/>
  <c r="L61" i="35" s="1"/>
  <c r="E28" i="28"/>
  <c r="N47" i="30"/>
  <c r="O47" i="30" s="1"/>
  <c r="L50" i="30"/>
  <c r="N61" i="34" l="1"/>
  <c r="O61" i="34" s="1"/>
  <c r="L62" i="34"/>
  <c r="N62" i="34" s="1"/>
  <c r="O62" i="34" s="1"/>
  <c r="L73" i="34"/>
  <c r="N61" i="35"/>
  <c r="O61" i="35" s="1"/>
  <c r="L62" i="35"/>
  <c r="N62" i="35" s="1"/>
  <c r="O62" i="35" s="1"/>
  <c r="L73" i="35"/>
  <c r="N50" i="34"/>
  <c r="O50" i="34" s="1"/>
  <c r="L65" i="34"/>
  <c r="N50" i="35"/>
  <c r="O50" i="35" s="1"/>
  <c r="L65" i="35"/>
  <c r="N50" i="30"/>
  <c r="O50" i="30" s="1"/>
  <c r="L65" i="30"/>
  <c r="L61" i="30"/>
  <c r="L73" i="30" s="1"/>
  <c r="L74" i="34" l="1"/>
  <c r="N74" i="34" s="1"/>
  <c r="O74" i="34" s="1"/>
  <c r="N73" i="34"/>
  <c r="O73" i="34" s="1"/>
  <c r="L63" i="34"/>
  <c r="L63" i="35"/>
  <c r="N63" i="35" s="1"/>
  <c r="O63" i="35" s="1"/>
  <c r="E25" i="28" s="1"/>
  <c r="N73" i="35"/>
  <c r="O73" i="35" s="1"/>
  <c r="L74" i="35"/>
  <c r="N74" i="35" s="1"/>
  <c r="O74" i="35" s="1"/>
  <c r="L66" i="34"/>
  <c r="N66" i="34" s="1"/>
  <c r="O66" i="34" s="1"/>
  <c r="N65" i="34"/>
  <c r="O65" i="34" s="1"/>
  <c r="L66" i="35"/>
  <c r="N66" i="35" s="1"/>
  <c r="O66" i="35" s="1"/>
  <c r="N65" i="35"/>
  <c r="O65" i="35" s="1"/>
  <c r="L74" i="30"/>
  <c r="L75" i="30" s="1"/>
  <c r="N73" i="30"/>
  <c r="O73" i="30" s="1"/>
  <c r="L62" i="30"/>
  <c r="N61" i="30"/>
  <c r="O61" i="30" s="1"/>
  <c r="N65" i="30"/>
  <c r="O65" i="30" s="1"/>
  <c r="L66" i="30"/>
  <c r="L67" i="34" l="1"/>
  <c r="N67" i="34" s="1"/>
  <c r="O67" i="34" s="1"/>
  <c r="L75" i="34"/>
  <c r="N75" i="34" s="1"/>
  <c r="O75" i="34" s="1"/>
  <c r="E19" i="28" s="1"/>
  <c r="L75" i="35"/>
  <c r="N75" i="35" s="1"/>
  <c r="O75" i="35" s="1"/>
  <c r="E24" i="28" s="1"/>
  <c r="N63" i="34"/>
  <c r="O63" i="34" s="1"/>
  <c r="E20" i="28" s="1"/>
  <c r="L67" i="35"/>
  <c r="N67" i="35" s="1"/>
  <c r="O67" i="35" s="1"/>
  <c r="N75" i="30"/>
  <c r="O75" i="30" s="1"/>
  <c r="E29" i="28" s="1"/>
  <c r="N74" i="30"/>
  <c r="O74" i="30" s="1"/>
  <c r="L67" i="30"/>
  <c r="N66" i="30"/>
  <c r="O66" i="30" s="1"/>
  <c r="L63" i="30"/>
  <c r="N62" i="30"/>
  <c r="O62" i="30" s="1"/>
  <c r="N67" i="30" l="1"/>
  <c r="O67" i="30" s="1"/>
  <c r="N63" i="30"/>
  <c r="O63" i="30" s="1"/>
  <c r="E30" i="28" s="1"/>
  <c r="G61" i="26"/>
  <c r="K60" i="26"/>
  <c r="L60" i="26" s="1"/>
  <c r="H60" i="26"/>
  <c r="H59" i="26"/>
  <c r="K58" i="26"/>
  <c r="L58" i="26" s="1"/>
  <c r="H58" i="26"/>
  <c r="H57" i="26"/>
  <c r="K56" i="26"/>
  <c r="J56" i="26"/>
  <c r="G56" i="26"/>
  <c r="H56" i="26" s="1"/>
  <c r="L54" i="26"/>
  <c r="H54" i="26"/>
  <c r="K49" i="26"/>
  <c r="G49" i="26"/>
  <c r="H49" i="26" s="1"/>
  <c r="J47" i="26"/>
  <c r="H47" i="26"/>
  <c r="K46" i="26"/>
  <c r="K52" i="26" s="1"/>
  <c r="L52" i="26" s="1"/>
  <c r="G46" i="26"/>
  <c r="G52" i="26" s="1"/>
  <c r="G53" i="26" s="1"/>
  <c r="K45" i="26"/>
  <c r="L45" i="26" s="1"/>
  <c r="G45" i="26"/>
  <c r="H45" i="26" s="1"/>
  <c r="L43" i="26"/>
  <c r="H43" i="26"/>
  <c r="K42" i="26"/>
  <c r="L42" i="26" s="1"/>
  <c r="H42" i="26"/>
  <c r="K41" i="26"/>
  <c r="L41" i="26" s="1"/>
  <c r="H41" i="26"/>
  <c r="K40" i="26"/>
  <c r="L40" i="26" s="1"/>
  <c r="G40" i="26"/>
  <c r="H40" i="26" s="1"/>
  <c r="K38" i="26"/>
  <c r="L38" i="26" s="1"/>
  <c r="G38" i="26"/>
  <c r="H38" i="26" s="1"/>
  <c r="O38" i="26" s="1"/>
  <c r="K37" i="26"/>
  <c r="L37" i="26" s="1"/>
  <c r="G37" i="26"/>
  <c r="H37" i="26" s="1"/>
  <c r="O37" i="26" s="1"/>
  <c r="K36" i="26"/>
  <c r="L36" i="26" s="1"/>
  <c r="G36" i="26"/>
  <c r="H36" i="26" s="1"/>
  <c r="O36" i="26" s="1"/>
  <c r="K35" i="26"/>
  <c r="L35" i="26" s="1"/>
  <c r="G35" i="26"/>
  <c r="H35" i="26" s="1"/>
  <c r="O35" i="26" s="1"/>
  <c r="K34" i="26"/>
  <c r="L34" i="26" s="1"/>
  <c r="G34" i="26"/>
  <c r="H34" i="26" s="1"/>
  <c r="O34" i="26" s="1"/>
  <c r="K33" i="26"/>
  <c r="L33" i="26" s="1"/>
  <c r="G33" i="26"/>
  <c r="H33" i="26" s="1"/>
  <c r="K32" i="26"/>
  <c r="L32" i="26" s="1"/>
  <c r="G32" i="26"/>
  <c r="H32" i="26" s="1"/>
  <c r="O32" i="26" s="1"/>
  <c r="K31" i="26"/>
  <c r="L31" i="26" s="1"/>
  <c r="G31" i="26"/>
  <c r="H31" i="26" s="1"/>
  <c r="K30" i="26"/>
  <c r="L30" i="26" s="1"/>
  <c r="G30" i="26"/>
  <c r="H30" i="26" s="1"/>
  <c r="O30" i="26" s="1"/>
  <c r="K29" i="26"/>
  <c r="L29" i="26" s="1"/>
  <c r="G29" i="26"/>
  <c r="H29" i="26" s="1"/>
  <c r="L28" i="26"/>
  <c r="H28" i="26"/>
  <c r="O28" i="26" s="1"/>
  <c r="L27" i="26"/>
  <c r="H27" i="26"/>
  <c r="O27" i="26" s="1"/>
  <c r="L26" i="26"/>
  <c r="H26" i="26"/>
  <c r="O26" i="26" s="1"/>
  <c r="L25" i="26"/>
  <c r="H25" i="26"/>
  <c r="O25" i="26" s="1"/>
  <c r="L24" i="26"/>
  <c r="H24" i="26"/>
  <c r="O24" i="26" s="1"/>
  <c r="L23" i="26"/>
  <c r="H23" i="26"/>
  <c r="G61" i="24"/>
  <c r="K60" i="24"/>
  <c r="L60" i="24" s="1"/>
  <c r="H60" i="24"/>
  <c r="K59" i="24"/>
  <c r="L59" i="24" s="1"/>
  <c r="H59" i="24"/>
  <c r="K56" i="24"/>
  <c r="J56" i="24"/>
  <c r="G56" i="24"/>
  <c r="H56" i="24" s="1"/>
  <c r="L54" i="24"/>
  <c r="H54" i="24"/>
  <c r="K49" i="24"/>
  <c r="G49" i="24"/>
  <c r="H49" i="24" s="1"/>
  <c r="J47" i="24"/>
  <c r="L47" i="24" s="1"/>
  <c r="H47" i="24"/>
  <c r="O47" i="24" s="1"/>
  <c r="K46" i="24"/>
  <c r="G46" i="24"/>
  <c r="G52" i="24" s="1"/>
  <c r="G53" i="24" s="1"/>
  <c r="K45" i="24"/>
  <c r="L45" i="24" s="1"/>
  <c r="G45" i="24"/>
  <c r="H45" i="24" s="1"/>
  <c r="L43" i="24"/>
  <c r="H43" i="24"/>
  <c r="K42" i="24"/>
  <c r="L42" i="24" s="1"/>
  <c r="G42" i="24"/>
  <c r="H42" i="24" s="1"/>
  <c r="K41" i="24"/>
  <c r="L41" i="24" s="1"/>
  <c r="H41" i="24"/>
  <c r="K40" i="24"/>
  <c r="L40" i="24" s="1"/>
  <c r="G40" i="24"/>
  <c r="H40" i="24" s="1"/>
  <c r="K38" i="24"/>
  <c r="L38" i="24" s="1"/>
  <c r="G38" i="24"/>
  <c r="H38" i="24" s="1"/>
  <c r="O38" i="24" s="1"/>
  <c r="K37" i="24"/>
  <c r="L37" i="24" s="1"/>
  <c r="G37" i="24"/>
  <c r="H37" i="24" s="1"/>
  <c r="O37" i="24" s="1"/>
  <c r="K36" i="24"/>
  <c r="L36" i="24" s="1"/>
  <c r="G36" i="24"/>
  <c r="H36" i="24" s="1"/>
  <c r="O36" i="24" s="1"/>
  <c r="K35" i="24"/>
  <c r="L35" i="24" s="1"/>
  <c r="G35" i="24"/>
  <c r="H35" i="24" s="1"/>
  <c r="K34" i="24"/>
  <c r="L34" i="24" s="1"/>
  <c r="G34" i="24"/>
  <c r="H34" i="24" s="1"/>
  <c r="O34" i="24" s="1"/>
  <c r="K33" i="24"/>
  <c r="L33" i="24" s="1"/>
  <c r="G33" i="24"/>
  <c r="H33" i="24" s="1"/>
  <c r="O33" i="24" s="1"/>
  <c r="K32" i="24"/>
  <c r="L32" i="24" s="1"/>
  <c r="G32" i="24"/>
  <c r="H32" i="24" s="1"/>
  <c r="O32" i="24" s="1"/>
  <c r="K31" i="24"/>
  <c r="L31" i="24" s="1"/>
  <c r="G31" i="24"/>
  <c r="H31" i="24" s="1"/>
  <c r="K30" i="24"/>
  <c r="L30" i="24" s="1"/>
  <c r="G30" i="24"/>
  <c r="H30" i="24" s="1"/>
  <c r="O30" i="24" s="1"/>
  <c r="K29" i="24"/>
  <c r="L29" i="24" s="1"/>
  <c r="G29" i="24"/>
  <c r="H29" i="24" s="1"/>
  <c r="L28" i="24"/>
  <c r="H28" i="24"/>
  <c r="O28" i="24" s="1"/>
  <c r="L27" i="24"/>
  <c r="H27" i="24"/>
  <c r="O27" i="24" s="1"/>
  <c r="L26" i="24"/>
  <c r="H26" i="24"/>
  <c r="O26" i="24" s="1"/>
  <c r="L25" i="24"/>
  <c r="H25" i="24"/>
  <c r="L24" i="24"/>
  <c r="H24" i="24"/>
  <c r="O24" i="24" s="1"/>
  <c r="L23" i="24"/>
  <c r="H23" i="24"/>
  <c r="K60" i="21"/>
  <c r="L60" i="21" s="1"/>
  <c r="H60" i="21"/>
  <c r="J56" i="21"/>
  <c r="L54" i="21"/>
  <c r="H54" i="21"/>
  <c r="K49" i="21"/>
  <c r="G49" i="21"/>
  <c r="G50" i="21" s="1"/>
  <c r="H50" i="21" s="1"/>
  <c r="J47" i="21"/>
  <c r="H47" i="21"/>
  <c r="O47" i="21" s="1"/>
  <c r="K45" i="21"/>
  <c r="L45" i="21" s="1"/>
  <c r="G45" i="21"/>
  <c r="H45" i="21" s="1"/>
  <c r="K40" i="21"/>
  <c r="L40" i="21" s="1"/>
  <c r="G40" i="21"/>
  <c r="H40" i="21" s="1"/>
  <c r="K31" i="21"/>
  <c r="L31" i="21" s="1"/>
  <c r="G31" i="21"/>
  <c r="H31" i="21" s="1"/>
  <c r="K29" i="21"/>
  <c r="L29" i="21" s="1"/>
  <c r="G29" i="21"/>
  <c r="H29" i="21" s="1"/>
  <c r="L28" i="21"/>
  <c r="H28" i="21"/>
  <c r="O28" i="21" s="1"/>
  <c r="L27" i="21"/>
  <c r="H27" i="21"/>
  <c r="O27" i="21" s="1"/>
  <c r="L26" i="21"/>
  <c r="H26" i="21"/>
  <c r="L25" i="21"/>
  <c r="H25" i="21"/>
  <c r="O25" i="21" s="1"/>
  <c r="L24" i="21"/>
  <c r="H24" i="21"/>
  <c r="L23" i="21"/>
  <c r="H23" i="21"/>
  <c r="F18" i="21"/>
  <c r="G60" i="20"/>
  <c r="K59" i="20"/>
  <c r="L59" i="20" s="1"/>
  <c r="H59" i="20"/>
  <c r="H57" i="20"/>
  <c r="K55" i="20"/>
  <c r="J55" i="20"/>
  <c r="G55" i="20"/>
  <c r="H55" i="20" s="1"/>
  <c r="L53" i="20"/>
  <c r="H53" i="20"/>
  <c r="K48" i="20"/>
  <c r="K49" i="20" s="1"/>
  <c r="G48" i="20"/>
  <c r="L46" i="20"/>
  <c r="H46" i="20"/>
  <c r="K45" i="20"/>
  <c r="L45" i="20" s="1"/>
  <c r="G45" i="20"/>
  <c r="K44" i="20"/>
  <c r="L44" i="20" s="1"/>
  <c r="G44" i="20"/>
  <c r="H44" i="20" s="1"/>
  <c r="K43" i="20"/>
  <c r="L43" i="20" s="1"/>
  <c r="G43" i="20"/>
  <c r="H43" i="20" s="1"/>
  <c r="O43" i="20" s="1"/>
  <c r="K42" i="20"/>
  <c r="L42" i="20" s="1"/>
  <c r="G42" i="20"/>
  <c r="H42" i="20" s="1"/>
  <c r="K41" i="20"/>
  <c r="L41" i="20" s="1"/>
  <c r="G41" i="20"/>
  <c r="H41" i="20" s="1"/>
  <c r="K40" i="20"/>
  <c r="L40" i="20" s="1"/>
  <c r="G40" i="20"/>
  <c r="H40" i="20" s="1"/>
  <c r="K38" i="20"/>
  <c r="L38" i="20" s="1"/>
  <c r="G38" i="20"/>
  <c r="H38" i="20" s="1"/>
  <c r="O38" i="20" s="1"/>
  <c r="K37" i="20"/>
  <c r="L37" i="20" s="1"/>
  <c r="G37" i="20"/>
  <c r="H37" i="20" s="1"/>
  <c r="O37" i="20" s="1"/>
  <c r="K36" i="20"/>
  <c r="L36" i="20" s="1"/>
  <c r="G36" i="20"/>
  <c r="H36" i="20" s="1"/>
  <c r="K35" i="20"/>
  <c r="L35" i="20" s="1"/>
  <c r="G35" i="20"/>
  <c r="H35" i="20" s="1"/>
  <c r="O35" i="20" s="1"/>
  <c r="K34" i="20"/>
  <c r="L34" i="20" s="1"/>
  <c r="G34" i="20"/>
  <c r="H34" i="20" s="1"/>
  <c r="K33" i="20"/>
  <c r="L33" i="20" s="1"/>
  <c r="G33" i="20"/>
  <c r="H33" i="20" s="1"/>
  <c r="O33" i="20" s="1"/>
  <c r="K32" i="20"/>
  <c r="L32" i="20" s="1"/>
  <c r="G32" i="20"/>
  <c r="H32" i="20" s="1"/>
  <c r="O32" i="20" s="1"/>
  <c r="K31" i="20"/>
  <c r="L31" i="20" s="1"/>
  <c r="G31" i="20"/>
  <c r="H31" i="20" s="1"/>
  <c r="K30" i="20"/>
  <c r="L30" i="20" s="1"/>
  <c r="G30" i="20"/>
  <c r="H30" i="20" s="1"/>
  <c r="O30" i="20" s="1"/>
  <c r="K29" i="20"/>
  <c r="L29" i="20" s="1"/>
  <c r="G29" i="20"/>
  <c r="H29" i="20" s="1"/>
  <c r="L28" i="20"/>
  <c r="H28" i="20"/>
  <c r="O28" i="20" s="1"/>
  <c r="L27" i="20"/>
  <c r="H27" i="20"/>
  <c r="O27" i="20" s="1"/>
  <c r="L26" i="20"/>
  <c r="H26" i="20"/>
  <c r="O26" i="20" s="1"/>
  <c r="L25" i="20"/>
  <c r="H25" i="20"/>
  <c r="O25" i="20" s="1"/>
  <c r="L24" i="20"/>
  <c r="H24" i="20"/>
  <c r="O24" i="20" s="1"/>
  <c r="L23" i="20"/>
  <c r="H23" i="20"/>
  <c r="G60" i="19"/>
  <c r="K59" i="19"/>
  <c r="L59" i="19" s="1"/>
  <c r="H59" i="19"/>
  <c r="K55" i="19"/>
  <c r="G55" i="19"/>
  <c r="H55" i="19" s="1"/>
  <c r="L53" i="19"/>
  <c r="H53" i="19"/>
  <c r="K48" i="19"/>
  <c r="K49" i="19" s="1"/>
  <c r="K52" i="19" s="1"/>
  <c r="L52" i="19" s="1"/>
  <c r="G48" i="19"/>
  <c r="G49" i="19" s="1"/>
  <c r="L46" i="19"/>
  <c r="H46" i="19"/>
  <c r="K45" i="19"/>
  <c r="L45" i="19" s="1"/>
  <c r="G45" i="19"/>
  <c r="K44" i="19"/>
  <c r="L44" i="19" s="1"/>
  <c r="G44" i="19"/>
  <c r="H44" i="19" s="1"/>
  <c r="K43" i="19"/>
  <c r="L43" i="19" s="1"/>
  <c r="G43" i="19"/>
  <c r="H43" i="19" s="1"/>
  <c r="O43" i="19" s="1"/>
  <c r="K42" i="19"/>
  <c r="L42" i="19" s="1"/>
  <c r="G42" i="19"/>
  <c r="H42" i="19" s="1"/>
  <c r="K41" i="19"/>
  <c r="L41" i="19" s="1"/>
  <c r="G41" i="19"/>
  <c r="H41" i="19" s="1"/>
  <c r="K40" i="19"/>
  <c r="L40" i="19" s="1"/>
  <c r="G40" i="19"/>
  <c r="H40" i="19" s="1"/>
  <c r="K38" i="19"/>
  <c r="L38" i="19" s="1"/>
  <c r="G38" i="19"/>
  <c r="H38" i="19" s="1"/>
  <c r="K37" i="19"/>
  <c r="L37" i="19" s="1"/>
  <c r="G37" i="19"/>
  <c r="H37" i="19" s="1"/>
  <c r="O37" i="19" s="1"/>
  <c r="K36" i="19"/>
  <c r="L36" i="19" s="1"/>
  <c r="G36" i="19"/>
  <c r="H36" i="19" s="1"/>
  <c r="K35" i="19"/>
  <c r="L35" i="19" s="1"/>
  <c r="G35" i="19"/>
  <c r="H35" i="19" s="1"/>
  <c r="O35" i="19" s="1"/>
  <c r="K34" i="19"/>
  <c r="L34" i="19" s="1"/>
  <c r="G34" i="19"/>
  <c r="H34" i="19" s="1"/>
  <c r="O34" i="19" s="1"/>
  <c r="K33" i="19"/>
  <c r="L33" i="19" s="1"/>
  <c r="G33" i="19"/>
  <c r="H33" i="19" s="1"/>
  <c r="O33" i="19" s="1"/>
  <c r="K32" i="19"/>
  <c r="L32" i="19" s="1"/>
  <c r="G32" i="19"/>
  <c r="H32" i="19" s="1"/>
  <c r="O32" i="19" s="1"/>
  <c r="K31" i="19"/>
  <c r="L31" i="19" s="1"/>
  <c r="G31" i="19"/>
  <c r="H31" i="19" s="1"/>
  <c r="K30" i="19"/>
  <c r="L30" i="19" s="1"/>
  <c r="G30" i="19"/>
  <c r="H30" i="19" s="1"/>
  <c r="O30" i="19" s="1"/>
  <c r="K29" i="19"/>
  <c r="L29" i="19" s="1"/>
  <c r="G29" i="19"/>
  <c r="H29" i="19" s="1"/>
  <c r="L28" i="19"/>
  <c r="H28" i="19"/>
  <c r="O28" i="19" s="1"/>
  <c r="L27" i="19"/>
  <c r="H27" i="19"/>
  <c r="O27" i="19" s="1"/>
  <c r="L26" i="19"/>
  <c r="H26" i="19"/>
  <c r="O26" i="19" s="1"/>
  <c r="L25" i="19"/>
  <c r="H25" i="19"/>
  <c r="O25" i="19" s="1"/>
  <c r="L24" i="19"/>
  <c r="H24" i="19"/>
  <c r="O24" i="19" s="1"/>
  <c r="L23" i="19"/>
  <c r="H23" i="19"/>
  <c r="K44" i="21" l="1"/>
  <c r="L44" i="21" s="1"/>
  <c r="G44" i="21"/>
  <c r="H44" i="21" s="1"/>
  <c r="O44" i="21" s="1"/>
  <c r="G50" i="26"/>
  <c r="H50" i="26" s="1"/>
  <c r="N33" i="26"/>
  <c r="N34" i="26"/>
  <c r="L46" i="26"/>
  <c r="K53" i="26"/>
  <c r="L47" i="26"/>
  <c r="N47" i="26" s="1"/>
  <c r="H53" i="26"/>
  <c r="G55" i="26"/>
  <c r="H55" i="26" s="1"/>
  <c r="N35" i="24"/>
  <c r="N38" i="24"/>
  <c r="N28" i="24"/>
  <c r="G50" i="24"/>
  <c r="H50" i="24" s="1"/>
  <c r="O35" i="24"/>
  <c r="H61" i="24"/>
  <c r="K61" i="24"/>
  <c r="L61" i="24" s="1"/>
  <c r="N26" i="24"/>
  <c r="N26" i="21"/>
  <c r="K56" i="21"/>
  <c r="L56" i="21" s="1"/>
  <c r="K33" i="21"/>
  <c r="L33" i="21" s="1"/>
  <c r="G36" i="21"/>
  <c r="H36" i="21" s="1"/>
  <c r="O36" i="21" s="1"/>
  <c r="K46" i="21"/>
  <c r="L46" i="21" s="1"/>
  <c r="N24" i="21"/>
  <c r="O26" i="21"/>
  <c r="G57" i="21"/>
  <c r="G59" i="21"/>
  <c r="K59" i="21" s="1"/>
  <c r="L59" i="21" s="1"/>
  <c r="G58" i="21"/>
  <c r="H58" i="21" s="1"/>
  <c r="O24" i="21"/>
  <c r="G30" i="21"/>
  <c r="H30" i="21" s="1"/>
  <c r="O30" i="21" s="1"/>
  <c r="N28" i="21"/>
  <c r="G34" i="21"/>
  <c r="H34" i="21" s="1"/>
  <c r="O34" i="21" s="1"/>
  <c r="K60" i="20"/>
  <c r="L60" i="20" s="1"/>
  <c r="N25" i="20"/>
  <c r="N36" i="19"/>
  <c r="N28" i="19"/>
  <c r="N27" i="19"/>
  <c r="N53" i="20"/>
  <c r="O53" i="20" s="1"/>
  <c r="L46" i="24"/>
  <c r="K52" i="24"/>
  <c r="N40" i="20"/>
  <c r="O40" i="20" s="1"/>
  <c r="N45" i="26"/>
  <c r="O45" i="26" s="1"/>
  <c r="N60" i="21"/>
  <c r="O60" i="21" s="1"/>
  <c r="N60" i="24"/>
  <c r="O60" i="24" s="1"/>
  <c r="N45" i="24"/>
  <c r="O45" i="24" s="1"/>
  <c r="N59" i="19"/>
  <c r="O59" i="19" s="1"/>
  <c r="N46" i="20"/>
  <c r="O46" i="20" s="1"/>
  <c r="N29" i="20"/>
  <c r="O29" i="20" s="1"/>
  <c r="H46" i="26"/>
  <c r="N58" i="26"/>
  <c r="O58" i="26" s="1"/>
  <c r="L56" i="26"/>
  <c r="N56" i="26" s="1"/>
  <c r="O56" i="26" s="1"/>
  <c r="L49" i="26"/>
  <c r="N49" i="26" s="1"/>
  <c r="O49" i="26" s="1"/>
  <c r="H46" i="24"/>
  <c r="N59" i="24"/>
  <c r="O59" i="24" s="1"/>
  <c r="L56" i="24"/>
  <c r="N56" i="24" s="1"/>
  <c r="O56" i="24" s="1"/>
  <c r="L49" i="24"/>
  <c r="N49" i="24" s="1"/>
  <c r="O49" i="24" s="1"/>
  <c r="H45" i="20"/>
  <c r="N45" i="20" s="1"/>
  <c r="L55" i="20"/>
  <c r="N55" i="20" s="1"/>
  <c r="O55" i="20" s="1"/>
  <c r="N44" i="20"/>
  <c r="O44" i="20" s="1"/>
  <c r="L55" i="19"/>
  <c r="N55" i="19" s="1"/>
  <c r="O55" i="19" s="1"/>
  <c r="N46" i="19"/>
  <c r="O46" i="19" s="1"/>
  <c r="N29" i="24"/>
  <c r="O29" i="24" s="1"/>
  <c r="N30" i="24"/>
  <c r="N23" i="20"/>
  <c r="O23" i="20" s="1"/>
  <c r="N27" i="20"/>
  <c r="N23" i="19"/>
  <c r="O23" i="19" s="1"/>
  <c r="N25" i="19"/>
  <c r="N26" i="19"/>
  <c r="N24" i="19"/>
  <c r="N29" i="19"/>
  <c r="O29" i="19" s="1"/>
  <c r="N29" i="26"/>
  <c r="O29" i="26" s="1"/>
  <c r="N40" i="26"/>
  <c r="O40" i="26" s="1"/>
  <c r="N30" i="26"/>
  <c r="H39" i="26"/>
  <c r="N42" i="26"/>
  <c r="O42" i="26" s="1"/>
  <c r="N31" i="26"/>
  <c r="O31" i="26" s="1"/>
  <c r="N32" i="26"/>
  <c r="N43" i="26"/>
  <c r="O43" i="26" s="1"/>
  <c r="N38" i="26"/>
  <c r="N27" i="26"/>
  <c r="O33" i="26"/>
  <c r="N37" i="26"/>
  <c r="N60" i="26"/>
  <c r="O60" i="26" s="1"/>
  <c r="N25" i="26"/>
  <c r="N35" i="26"/>
  <c r="O47" i="26"/>
  <c r="H52" i="26"/>
  <c r="N52" i="26" s="1"/>
  <c r="N23" i="26"/>
  <c r="O23" i="26" s="1"/>
  <c r="L39" i="26"/>
  <c r="N41" i="26"/>
  <c r="O41" i="26" s="1"/>
  <c r="N24" i="26"/>
  <c r="N28" i="26"/>
  <c r="N26" i="26"/>
  <c r="N36" i="26"/>
  <c r="K50" i="26"/>
  <c r="L50" i="26" s="1"/>
  <c r="N54" i="26"/>
  <c r="O54" i="26" s="1"/>
  <c r="K61" i="26"/>
  <c r="L61" i="26" s="1"/>
  <c r="H61" i="26"/>
  <c r="K57" i="26"/>
  <c r="L57" i="26" s="1"/>
  <c r="K59" i="26"/>
  <c r="L59" i="26" s="1"/>
  <c r="N40" i="24"/>
  <c r="O40" i="24" s="1"/>
  <c r="H39" i="24"/>
  <c r="N32" i="24"/>
  <c r="N34" i="24"/>
  <c r="L39" i="24"/>
  <c r="N31" i="24"/>
  <c r="O31" i="24" s="1"/>
  <c r="N33" i="24"/>
  <c r="N41" i="24"/>
  <c r="O41" i="24" s="1"/>
  <c r="N23" i="24"/>
  <c r="O23" i="24" s="1"/>
  <c r="N24" i="24"/>
  <c r="N27" i="24"/>
  <c r="N36" i="24"/>
  <c r="N37" i="24"/>
  <c r="O25" i="24"/>
  <c r="N25" i="24"/>
  <c r="N43" i="24"/>
  <c r="O43" i="24" s="1"/>
  <c r="H52" i="24"/>
  <c r="K57" i="24"/>
  <c r="L57" i="24" s="1"/>
  <c r="N42" i="24"/>
  <c r="O42" i="24" s="1"/>
  <c r="N47" i="24"/>
  <c r="H57" i="24"/>
  <c r="K50" i="24"/>
  <c r="L50" i="24" s="1"/>
  <c r="N54" i="24"/>
  <c r="O54" i="24" s="1"/>
  <c r="K58" i="24"/>
  <c r="L58" i="24" s="1"/>
  <c r="H58" i="24"/>
  <c r="H49" i="21"/>
  <c r="N40" i="21"/>
  <c r="O40" i="21" s="1"/>
  <c r="N31" i="21"/>
  <c r="O31" i="21" s="1"/>
  <c r="K50" i="21"/>
  <c r="L50" i="21" s="1"/>
  <c r="L49" i="21"/>
  <c r="N23" i="21"/>
  <c r="O23" i="21" s="1"/>
  <c r="N25" i="21"/>
  <c r="N27" i="21"/>
  <c r="K35" i="21"/>
  <c r="L35" i="21" s="1"/>
  <c r="G38" i="21"/>
  <c r="H38" i="21" s="1"/>
  <c r="O38" i="21" s="1"/>
  <c r="N45" i="21"/>
  <c r="O45" i="21" s="1"/>
  <c r="G61" i="21"/>
  <c r="G56" i="21"/>
  <c r="H56" i="21" s="1"/>
  <c r="G46" i="21"/>
  <c r="H46" i="21" s="1"/>
  <c r="H43" i="21"/>
  <c r="K42" i="21"/>
  <c r="L42" i="21" s="1"/>
  <c r="L43" i="21"/>
  <c r="G42" i="21"/>
  <c r="H42" i="21" s="1"/>
  <c r="K38" i="21"/>
  <c r="L38" i="21" s="1"/>
  <c r="G37" i="21"/>
  <c r="H37" i="21" s="1"/>
  <c r="O37" i="21" s="1"/>
  <c r="K36" i="21"/>
  <c r="L36" i="21" s="1"/>
  <c r="G35" i="21"/>
  <c r="H35" i="21" s="1"/>
  <c r="O35" i="21" s="1"/>
  <c r="K34" i="21"/>
  <c r="L34" i="21" s="1"/>
  <c r="G33" i="21"/>
  <c r="H33" i="21" s="1"/>
  <c r="O33" i="21" s="1"/>
  <c r="K32" i="21"/>
  <c r="L32" i="21" s="1"/>
  <c r="K30" i="21"/>
  <c r="L30" i="21" s="1"/>
  <c r="N29" i="21"/>
  <c r="O29" i="21" s="1"/>
  <c r="G32" i="21"/>
  <c r="H32" i="21" s="1"/>
  <c r="O32" i="21" s="1"/>
  <c r="K37" i="21"/>
  <c r="L37" i="21" s="1"/>
  <c r="L47" i="21"/>
  <c r="N54" i="21"/>
  <c r="O54" i="21" s="1"/>
  <c r="N37" i="20"/>
  <c r="N41" i="20"/>
  <c r="O41" i="20" s="1"/>
  <c r="N36" i="20"/>
  <c r="K57" i="20"/>
  <c r="L57" i="20" s="1"/>
  <c r="N57" i="20" s="1"/>
  <c r="O57" i="20" s="1"/>
  <c r="N34" i="20"/>
  <c r="O34" i="20"/>
  <c r="N33" i="20"/>
  <c r="N35" i="20"/>
  <c r="K58" i="20"/>
  <c r="L58" i="20" s="1"/>
  <c r="H58" i="20"/>
  <c r="H39" i="20"/>
  <c r="N24" i="20"/>
  <c r="N28" i="20"/>
  <c r="N32" i="20"/>
  <c r="L39" i="20"/>
  <c r="N30" i="20"/>
  <c r="N38" i="20"/>
  <c r="N42" i="20"/>
  <c r="O42" i="20" s="1"/>
  <c r="L48" i="20"/>
  <c r="O36" i="20"/>
  <c r="L49" i="20"/>
  <c r="K52" i="20"/>
  <c r="L52" i="20" s="1"/>
  <c r="K51" i="20"/>
  <c r="L51" i="20" s="1"/>
  <c r="N59" i="20"/>
  <c r="O59" i="20" s="1"/>
  <c r="N26" i="20"/>
  <c r="N31" i="20"/>
  <c r="O31" i="20" s="1"/>
  <c r="N43" i="20"/>
  <c r="G49" i="20"/>
  <c r="H48" i="20"/>
  <c r="K56" i="20"/>
  <c r="L56" i="20" s="1"/>
  <c r="H56" i="20"/>
  <c r="H60" i="20"/>
  <c r="H48" i="19"/>
  <c r="H58" i="19"/>
  <c r="H60" i="19"/>
  <c r="N37" i="19"/>
  <c r="O36" i="19"/>
  <c r="H45" i="19"/>
  <c r="N45" i="19" s="1"/>
  <c r="K58" i="19"/>
  <c r="L58" i="19" s="1"/>
  <c r="K60" i="19"/>
  <c r="L60" i="19" s="1"/>
  <c r="N33" i="19"/>
  <c r="N31" i="19"/>
  <c r="O31" i="19" s="1"/>
  <c r="N42" i="19"/>
  <c r="O42" i="19" s="1"/>
  <c r="O38" i="19"/>
  <c r="N38" i="19"/>
  <c r="N44" i="19"/>
  <c r="O44" i="19" s="1"/>
  <c r="N30" i="19"/>
  <c r="N32" i="19"/>
  <c r="N35" i="19"/>
  <c r="N40" i="19"/>
  <c r="O40" i="19" s="1"/>
  <c r="N41" i="19"/>
  <c r="O41" i="19" s="1"/>
  <c r="L39" i="19"/>
  <c r="N34" i="19"/>
  <c r="H39" i="19"/>
  <c r="N43" i="19"/>
  <c r="L48" i="19"/>
  <c r="K51" i="19"/>
  <c r="L51" i="19" s="1"/>
  <c r="L49" i="19"/>
  <c r="G52" i="19"/>
  <c r="H52" i="19" s="1"/>
  <c r="H49" i="19"/>
  <c r="G51" i="19"/>
  <c r="H51" i="19" s="1"/>
  <c r="K56" i="19"/>
  <c r="L56" i="19" s="1"/>
  <c r="H56" i="19"/>
  <c r="K57" i="19"/>
  <c r="L57" i="19" s="1"/>
  <c r="H57" i="19"/>
  <c r="N53" i="19"/>
  <c r="O53" i="19" s="1"/>
  <c r="G60" i="18"/>
  <c r="H60" i="18" s="1"/>
  <c r="K59" i="18"/>
  <c r="L59" i="18" s="1"/>
  <c r="H59" i="18"/>
  <c r="H57" i="18"/>
  <c r="K55" i="18"/>
  <c r="G55" i="18"/>
  <c r="H55" i="18" s="1"/>
  <c r="L53" i="18"/>
  <c r="H53" i="18"/>
  <c r="K48" i="18"/>
  <c r="K49" i="18" s="1"/>
  <c r="K52" i="18" s="1"/>
  <c r="L52" i="18" s="1"/>
  <c r="G48" i="18"/>
  <c r="G49" i="18" s="1"/>
  <c r="L46" i="18"/>
  <c r="H46" i="18"/>
  <c r="K45" i="18"/>
  <c r="G45" i="18"/>
  <c r="K44" i="18"/>
  <c r="L44" i="18" s="1"/>
  <c r="G44" i="18"/>
  <c r="H44" i="18" s="1"/>
  <c r="K43" i="18"/>
  <c r="L43" i="18" s="1"/>
  <c r="G43" i="18"/>
  <c r="H43" i="18" s="1"/>
  <c r="O43" i="18" s="1"/>
  <c r="K42" i="18"/>
  <c r="L42" i="18" s="1"/>
  <c r="G42" i="18"/>
  <c r="H42" i="18" s="1"/>
  <c r="K41" i="18"/>
  <c r="L41" i="18" s="1"/>
  <c r="G41" i="18"/>
  <c r="H41" i="18" s="1"/>
  <c r="K40" i="18"/>
  <c r="L40" i="18" s="1"/>
  <c r="G40" i="18"/>
  <c r="H40" i="18" s="1"/>
  <c r="K38" i="18"/>
  <c r="L38" i="18" s="1"/>
  <c r="G38" i="18"/>
  <c r="H38" i="18" s="1"/>
  <c r="O38" i="18" s="1"/>
  <c r="K37" i="18"/>
  <c r="L37" i="18" s="1"/>
  <c r="G37" i="18"/>
  <c r="H37" i="18" s="1"/>
  <c r="O37" i="18" s="1"/>
  <c r="K36" i="18"/>
  <c r="L36" i="18" s="1"/>
  <c r="G36" i="18"/>
  <c r="H36" i="18" s="1"/>
  <c r="O36" i="18" s="1"/>
  <c r="K35" i="18"/>
  <c r="L35" i="18" s="1"/>
  <c r="G35" i="18"/>
  <c r="H35" i="18" s="1"/>
  <c r="O35" i="18" s="1"/>
  <c r="K34" i="18"/>
  <c r="L34" i="18" s="1"/>
  <c r="G34" i="18"/>
  <c r="H34" i="18" s="1"/>
  <c r="O34" i="18" s="1"/>
  <c r="K33" i="18"/>
  <c r="L33" i="18" s="1"/>
  <c r="G33" i="18"/>
  <c r="H33" i="18" s="1"/>
  <c r="K32" i="18"/>
  <c r="L32" i="18" s="1"/>
  <c r="G32" i="18"/>
  <c r="H32" i="18" s="1"/>
  <c r="O32" i="18" s="1"/>
  <c r="K31" i="18"/>
  <c r="L31" i="18" s="1"/>
  <c r="G31" i="18"/>
  <c r="H31" i="18" s="1"/>
  <c r="K30" i="18"/>
  <c r="L30" i="18" s="1"/>
  <c r="G30" i="18"/>
  <c r="H30" i="18" s="1"/>
  <c r="O30" i="18" s="1"/>
  <c r="K29" i="18"/>
  <c r="L29" i="18" s="1"/>
  <c r="G29" i="18"/>
  <c r="H29" i="18" s="1"/>
  <c r="L28" i="18"/>
  <c r="H28" i="18"/>
  <c r="O28" i="18" s="1"/>
  <c r="L27" i="18"/>
  <c r="H27" i="18"/>
  <c r="O27" i="18" s="1"/>
  <c r="L26" i="18"/>
  <c r="H26" i="18"/>
  <c r="O26" i="18" s="1"/>
  <c r="L25" i="18"/>
  <c r="H25" i="18"/>
  <c r="O25" i="18" s="1"/>
  <c r="L24" i="18"/>
  <c r="H24" i="18"/>
  <c r="O24" i="18" s="1"/>
  <c r="L23" i="18"/>
  <c r="H23" i="18"/>
  <c r="G60" i="17"/>
  <c r="H60" i="17" s="1"/>
  <c r="K59" i="17"/>
  <c r="L59" i="17" s="1"/>
  <c r="H59" i="17"/>
  <c r="H58" i="17"/>
  <c r="K57" i="17"/>
  <c r="L57" i="17" s="1"/>
  <c r="H57" i="17"/>
  <c r="H56" i="17"/>
  <c r="K55" i="17"/>
  <c r="J55" i="17"/>
  <c r="G55" i="17"/>
  <c r="H55" i="17" s="1"/>
  <c r="L53" i="17"/>
  <c r="H53" i="17"/>
  <c r="K48" i="17"/>
  <c r="G48" i="17"/>
  <c r="G49" i="17" s="1"/>
  <c r="L46" i="17"/>
  <c r="H46" i="17"/>
  <c r="K45" i="17"/>
  <c r="G45" i="17"/>
  <c r="K44" i="17"/>
  <c r="L44" i="17" s="1"/>
  <c r="G44" i="17"/>
  <c r="H44" i="17" s="1"/>
  <c r="K43" i="17"/>
  <c r="L43" i="17" s="1"/>
  <c r="G43" i="17"/>
  <c r="H43" i="17" s="1"/>
  <c r="O43" i="17" s="1"/>
  <c r="K42" i="17"/>
  <c r="L42" i="17" s="1"/>
  <c r="G42" i="17"/>
  <c r="H42" i="17" s="1"/>
  <c r="K41" i="17"/>
  <c r="L41" i="17" s="1"/>
  <c r="G41" i="17"/>
  <c r="H41" i="17" s="1"/>
  <c r="K40" i="17"/>
  <c r="L40" i="17" s="1"/>
  <c r="G40" i="17"/>
  <c r="H40" i="17" s="1"/>
  <c r="K38" i="17"/>
  <c r="L38" i="17" s="1"/>
  <c r="G38" i="17"/>
  <c r="H38" i="17" s="1"/>
  <c r="O38" i="17" s="1"/>
  <c r="K37" i="17"/>
  <c r="L37" i="17" s="1"/>
  <c r="G37" i="17"/>
  <c r="H37" i="17" s="1"/>
  <c r="O37" i="17" s="1"/>
  <c r="K36" i="17"/>
  <c r="L36" i="17" s="1"/>
  <c r="G36" i="17"/>
  <c r="H36" i="17" s="1"/>
  <c r="O36" i="17" s="1"/>
  <c r="K35" i="17"/>
  <c r="L35" i="17" s="1"/>
  <c r="G35" i="17"/>
  <c r="H35" i="17" s="1"/>
  <c r="K34" i="17"/>
  <c r="L34" i="17" s="1"/>
  <c r="G34" i="17"/>
  <c r="H34" i="17" s="1"/>
  <c r="O34" i="17" s="1"/>
  <c r="K33" i="17"/>
  <c r="L33" i="17" s="1"/>
  <c r="G33" i="17"/>
  <c r="H33" i="17" s="1"/>
  <c r="O33" i="17" s="1"/>
  <c r="K32" i="17"/>
  <c r="L32" i="17" s="1"/>
  <c r="G32" i="17"/>
  <c r="H32" i="17" s="1"/>
  <c r="O32" i="17" s="1"/>
  <c r="K31" i="17"/>
  <c r="L31" i="17" s="1"/>
  <c r="G31" i="17"/>
  <c r="H31" i="17" s="1"/>
  <c r="K30" i="17"/>
  <c r="L30" i="17" s="1"/>
  <c r="G30" i="17"/>
  <c r="H30" i="17" s="1"/>
  <c r="O30" i="17" s="1"/>
  <c r="K29" i="17"/>
  <c r="L29" i="17" s="1"/>
  <c r="G29" i="17"/>
  <c r="H29" i="17" s="1"/>
  <c r="L28" i="17"/>
  <c r="H28" i="17"/>
  <c r="L27" i="17"/>
  <c r="H27" i="17"/>
  <c r="O27" i="17" s="1"/>
  <c r="L26" i="17"/>
  <c r="H26" i="17"/>
  <c r="O26" i="17" s="1"/>
  <c r="L25" i="17"/>
  <c r="H25" i="17"/>
  <c r="O25" i="17" s="1"/>
  <c r="L24" i="17"/>
  <c r="H24" i="17"/>
  <c r="O24" i="17" s="1"/>
  <c r="L23" i="17"/>
  <c r="H23" i="17"/>
  <c r="G59" i="16"/>
  <c r="H57" i="16"/>
  <c r="H56" i="16"/>
  <c r="H55" i="16"/>
  <c r="L53" i="16"/>
  <c r="H53" i="16"/>
  <c r="K48" i="16"/>
  <c r="K49" i="16" s="1"/>
  <c r="H48" i="16"/>
  <c r="L46" i="16"/>
  <c r="H46" i="16"/>
  <c r="K45" i="16"/>
  <c r="G45" i="16"/>
  <c r="K44" i="16"/>
  <c r="L44" i="16" s="1"/>
  <c r="G44" i="16"/>
  <c r="H44" i="16" s="1"/>
  <c r="K43" i="16"/>
  <c r="L43" i="16" s="1"/>
  <c r="G43" i="16"/>
  <c r="H43" i="16" s="1"/>
  <c r="O43" i="16" s="1"/>
  <c r="K42" i="16"/>
  <c r="L42" i="16" s="1"/>
  <c r="G42" i="16"/>
  <c r="H42" i="16" s="1"/>
  <c r="L41" i="16"/>
  <c r="H41" i="16"/>
  <c r="K40" i="16"/>
  <c r="L40" i="16" s="1"/>
  <c r="G40" i="16"/>
  <c r="H40" i="16" s="1"/>
  <c r="K38" i="16"/>
  <c r="L38" i="16" s="1"/>
  <c r="G38" i="16"/>
  <c r="H38" i="16" s="1"/>
  <c r="O38" i="16" s="1"/>
  <c r="K37" i="16"/>
  <c r="L37" i="16" s="1"/>
  <c r="G37" i="16"/>
  <c r="H37" i="16" s="1"/>
  <c r="K36" i="16"/>
  <c r="L36" i="16" s="1"/>
  <c r="G36" i="16"/>
  <c r="H36" i="16" s="1"/>
  <c r="O36" i="16" s="1"/>
  <c r="K35" i="16"/>
  <c r="L35" i="16" s="1"/>
  <c r="G35" i="16"/>
  <c r="H35" i="16" s="1"/>
  <c r="O35" i="16" s="1"/>
  <c r="K34" i="16"/>
  <c r="L34" i="16" s="1"/>
  <c r="G34" i="16"/>
  <c r="H34" i="16" s="1"/>
  <c r="O34" i="16" s="1"/>
  <c r="K33" i="16"/>
  <c r="L33" i="16" s="1"/>
  <c r="G33" i="16"/>
  <c r="H33" i="16" s="1"/>
  <c r="K32" i="16"/>
  <c r="L32" i="16" s="1"/>
  <c r="G32" i="16"/>
  <c r="H32" i="16" s="1"/>
  <c r="O32" i="16" s="1"/>
  <c r="K31" i="16"/>
  <c r="L31" i="16" s="1"/>
  <c r="G31" i="16"/>
  <c r="H31" i="16" s="1"/>
  <c r="K30" i="16"/>
  <c r="L30" i="16" s="1"/>
  <c r="G30" i="16"/>
  <c r="H30" i="16" s="1"/>
  <c r="O30" i="16" s="1"/>
  <c r="K29" i="16"/>
  <c r="L29" i="16" s="1"/>
  <c r="G29" i="16"/>
  <c r="H29" i="16" s="1"/>
  <c r="L28" i="16"/>
  <c r="H28" i="16"/>
  <c r="O28" i="16" s="1"/>
  <c r="L27" i="16"/>
  <c r="H27" i="16"/>
  <c r="O27" i="16" s="1"/>
  <c r="L26" i="16"/>
  <c r="H26" i="16"/>
  <c r="O26" i="16" s="1"/>
  <c r="L25" i="16"/>
  <c r="H25" i="16"/>
  <c r="O25" i="16" s="1"/>
  <c r="L24" i="16"/>
  <c r="H24" i="16"/>
  <c r="O24" i="16" s="1"/>
  <c r="L23" i="16"/>
  <c r="H23" i="16"/>
  <c r="G59" i="15"/>
  <c r="H59" i="15" s="1"/>
  <c r="G58" i="15"/>
  <c r="H58" i="15" s="1"/>
  <c r="K57" i="15"/>
  <c r="L57" i="15" s="1"/>
  <c r="H57" i="15"/>
  <c r="H56" i="15"/>
  <c r="H55" i="15"/>
  <c r="L53" i="15"/>
  <c r="H53" i="15"/>
  <c r="K48" i="15"/>
  <c r="H48" i="15"/>
  <c r="L46" i="15"/>
  <c r="H46" i="15"/>
  <c r="K45" i="15"/>
  <c r="L45" i="15" s="1"/>
  <c r="G45" i="15"/>
  <c r="K44" i="15"/>
  <c r="L44" i="15" s="1"/>
  <c r="G44" i="15"/>
  <c r="H44" i="15" s="1"/>
  <c r="K43" i="15"/>
  <c r="L43" i="15" s="1"/>
  <c r="G43" i="15"/>
  <c r="H43" i="15" s="1"/>
  <c r="O43" i="15" s="1"/>
  <c r="K42" i="15"/>
  <c r="L42" i="15" s="1"/>
  <c r="G42" i="15"/>
  <c r="H42" i="15" s="1"/>
  <c r="L41" i="15"/>
  <c r="H41" i="15"/>
  <c r="K40" i="15"/>
  <c r="L40" i="15" s="1"/>
  <c r="G40" i="15"/>
  <c r="H40" i="15" s="1"/>
  <c r="K38" i="15"/>
  <c r="L38" i="15" s="1"/>
  <c r="G38" i="15"/>
  <c r="H38" i="15" s="1"/>
  <c r="O38" i="15" s="1"/>
  <c r="K37" i="15"/>
  <c r="L37" i="15" s="1"/>
  <c r="G37" i="15"/>
  <c r="H37" i="15" s="1"/>
  <c r="O37" i="15" s="1"/>
  <c r="K36" i="15"/>
  <c r="L36" i="15" s="1"/>
  <c r="G36" i="15"/>
  <c r="H36" i="15" s="1"/>
  <c r="O36" i="15" s="1"/>
  <c r="K35" i="15"/>
  <c r="L35" i="15" s="1"/>
  <c r="G35" i="15"/>
  <c r="H35" i="15" s="1"/>
  <c r="O35" i="15" s="1"/>
  <c r="K34" i="15"/>
  <c r="L34" i="15" s="1"/>
  <c r="G34" i="15"/>
  <c r="H34" i="15" s="1"/>
  <c r="O34" i="15" s="1"/>
  <c r="K33" i="15"/>
  <c r="L33" i="15" s="1"/>
  <c r="G33" i="15"/>
  <c r="H33" i="15" s="1"/>
  <c r="O33" i="15" s="1"/>
  <c r="K32" i="15"/>
  <c r="L32" i="15" s="1"/>
  <c r="G32" i="15"/>
  <c r="H32" i="15" s="1"/>
  <c r="O32" i="15" s="1"/>
  <c r="K31" i="15"/>
  <c r="L31" i="15" s="1"/>
  <c r="G31" i="15"/>
  <c r="H31" i="15" s="1"/>
  <c r="K30" i="15"/>
  <c r="L30" i="15" s="1"/>
  <c r="G30" i="15"/>
  <c r="H30" i="15" s="1"/>
  <c r="K29" i="15"/>
  <c r="L29" i="15" s="1"/>
  <c r="G29" i="15"/>
  <c r="H29" i="15" s="1"/>
  <c r="L28" i="15"/>
  <c r="H28" i="15"/>
  <c r="O28" i="15" s="1"/>
  <c r="L27" i="15"/>
  <c r="H27" i="15"/>
  <c r="O27" i="15" s="1"/>
  <c r="L26" i="15"/>
  <c r="H26" i="15"/>
  <c r="O26" i="15" s="1"/>
  <c r="L25" i="15"/>
  <c r="H25" i="15"/>
  <c r="O25" i="15" s="1"/>
  <c r="L24" i="15"/>
  <c r="H24" i="15"/>
  <c r="L23" i="15"/>
  <c r="H23" i="15"/>
  <c r="G59" i="14"/>
  <c r="K59" i="14" s="1"/>
  <c r="L59" i="14" s="1"/>
  <c r="G58" i="14"/>
  <c r="H58" i="14" s="1"/>
  <c r="K57" i="14"/>
  <c r="L57" i="14" s="1"/>
  <c r="H57" i="14"/>
  <c r="H56" i="14"/>
  <c r="K55" i="14"/>
  <c r="L55" i="14" s="1"/>
  <c r="H55" i="14"/>
  <c r="L53" i="14"/>
  <c r="H53" i="14"/>
  <c r="K48" i="14"/>
  <c r="L48" i="14" s="1"/>
  <c r="L46" i="14"/>
  <c r="H46" i="14"/>
  <c r="K45" i="14"/>
  <c r="G45" i="14"/>
  <c r="K44" i="14"/>
  <c r="L44" i="14" s="1"/>
  <c r="G44" i="14"/>
  <c r="H44" i="14" s="1"/>
  <c r="K43" i="14"/>
  <c r="L43" i="14" s="1"/>
  <c r="G43" i="14"/>
  <c r="H43" i="14" s="1"/>
  <c r="K42" i="14"/>
  <c r="L42" i="14" s="1"/>
  <c r="G42" i="14"/>
  <c r="H42" i="14" s="1"/>
  <c r="L41" i="14"/>
  <c r="H41" i="14"/>
  <c r="K40" i="14"/>
  <c r="L40" i="14" s="1"/>
  <c r="G40" i="14"/>
  <c r="H40" i="14" s="1"/>
  <c r="K38" i="14"/>
  <c r="L38" i="14" s="1"/>
  <c r="G38" i="14"/>
  <c r="H38" i="14" s="1"/>
  <c r="O38" i="14" s="1"/>
  <c r="K37" i="14"/>
  <c r="L37" i="14" s="1"/>
  <c r="G37" i="14"/>
  <c r="H37" i="14" s="1"/>
  <c r="O37" i="14" s="1"/>
  <c r="K36" i="14"/>
  <c r="L36" i="14" s="1"/>
  <c r="G36" i="14"/>
  <c r="H36" i="14" s="1"/>
  <c r="O36" i="14" s="1"/>
  <c r="K35" i="14"/>
  <c r="L35" i="14" s="1"/>
  <c r="G35" i="14"/>
  <c r="H35" i="14" s="1"/>
  <c r="K34" i="14"/>
  <c r="L34" i="14" s="1"/>
  <c r="G34" i="14"/>
  <c r="H34" i="14" s="1"/>
  <c r="O34" i="14" s="1"/>
  <c r="K33" i="14"/>
  <c r="L33" i="14" s="1"/>
  <c r="G33" i="14"/>
  <c r="H33" i="14" s="1"/>
  <c r="O33" i="14" s="1"/>
  <c r="K32" i="14"/>
  <c r="L32" i="14" s="1"/>
  <c r="G32" i="14"/>
  <c r="H32" i="14" s="1"/>
  <c r="O32" i="14" s="1"/>
  <c r="K31" i="14"/>
  <c r="L31" i="14" s="1"/>
  <c r="G31" i="14"/>
  <c r="H31" i="14" s="1"/>
  <c r="K30" i="14"/>
  <c r="L30" i="14" s="1"/>
  <c r="G30" i="14"/>
  <c r="H30" i="14" s="1"/>
  <c r="O30" i="14" s="1"/>
  <c r="K29" i="14"/>
  <c r="L29" i="14" s="1"/>
  <c r="G29" i="14"/>
  <c r="H29" i="14" s="1"/>
  <c r="L28" i="14"/>
  <c r="H28" i="14"/>
  <c r="O28" i="14" s="1"/>
  <c r="L27" i="14"/>
  <c r="H27" i="14"/>
  <c r="O27" i="14" s="1"/>
  <c r="L26" i="14"/>
  <c r="H26" i="14"/>
  <c r="O26" i="14" s="1"/>
  <c r="L25" i="14"/>
  <c r="H25" i="14"/>
  <c r="O25" i="14" s="1"/>
  <c r="L24" i="14"/>
  <c r="H24" i="14"/>
  <c r="O24" i="14" s="1"/>
  <c r="L23" i="14"/>
  <c r="H23" i="14"/>
  <c r="G59" i="13"/>
  <c r="H59" i="13" s="1"/>
  <c r="O59" i="13" s="1"/>
  <c r="G58" i="13"/>
  <c r="H58" i="13" s="1"/>
  <c r="K57" i="13"/>
  <c r="L57" i="13" s="1"/>
  <c r="H57" i="13"/>
  <c r="H56" i="13"/>
  <c r="H55" i="13"/>
  <c r="L53" i="13"/>
  <c r="H53" i="13"/>
  <c r="K48" i="13"/>
  <c r="K49" i="13" s="1"/>
  <c r="G49" i="13"/>
  <c r="H49" i="13" s="1"/>
  <c r="L46" i="13"/>
  <c r="H46" i="13"/>
  <c r="K45" i="13"/>
  <c r="G45" i="13"/>
  <c r="K44" i="13"/>
  <c r="L44" i="13" s="1"/>
  <c r="G44" i="13"/>
  <c r="H44" i="13" s="1"/>
  <c r="K43" i="13"/>
  <c r="L43" i="13" s="1"/>
  <c r="G43" i="13"/>
  <c r="H43" i="13" s="1"/>
  <c r="O43" i="13" s="1"/>
  <c r="K42" i="13"/>
  <c r="L42" i="13" s="1"/>
  <c r="G42" i="13"/>
  <c r="H42" i="13" s="1"/>
  <c r="L41" i="13"/>
  <c r="H41" i="13"/>
  <c r="K40" i="13"/>
  <c r="L40" i="13" s="1"/>
  <c r="G40" i="13"/>
  <c r="H40" i="13" s="1"/>
  <c r="K38" i="13"/>
  <c r="L38" i="13" s="1"/>
  <c r="G38" i="13"/>
  <c r="H38" i="13" s="1"/>
  <c r="K37" i="13"/>
  <c r="L37" i="13" s="1"/>
  <c r="G37" i="13"/>
  <c r="H37" i="13" s="1"/>
  <c r="O37" i="13" s="1"/>
  <c r="K36" i="13"/>
  <c r="L36" i="13" s="1"/>
  <c r="G36" i="13"/>
  <c r="H36" i="13" s="1"/>
  <c r="O36" i="13" s="1"/>
  <c r="K35" i="13"/>
  <c r="L35" i="13" s="1"/>
  <c r="G35" i="13"/>
  <c r="H35" i="13" s="1"/>
  <c r="O35" i="13" s="1"/>
  <c r="K34" i="13"/>
  <c r="L34" i="13" s="1"/>
  <c r="G34" i="13"/>
  <c r="H34" i="13" s="1"/>
  <c r="O34" i="13" s="1"/>
  <c r="K33" i="13"/>
  <c r="L33" i="13" s="1"/>
  <c r="G33" i="13"/>
  <c r="H33" i="13" s="1"/>
  <c r="O33" i="13" s="1"/>
  <c r="K32" i="13"/>
  <c r="L32" i="13" s="1"/>
  <c r="G32" i="13"/>
  <c r="H32" i="13" s="1"/>
  <c r="O32" i="13" s="1"/>
  <c r="K31" i="13"/>
  <c r="L31" i="13" s="1"/>
  <c r="G31" i="13"/>
  <c r="H31" i="13" s="1"/>
  <c r="K30" i="13"/>
  <c r="L30" i="13" s="1"/>
  <c r="G30" i="13"/>
  <c r="H30" i="13" s="1"/>
  <c r="K29" i="13"/>
  <c r="L29" i="13" s="1"/>
  <c r="G29" i="13"/>
  <c r="H29" i="13" s="1"/>
  <c r="L28" i="13"/>
  <c r="H28" i="13"/>
  <c r="O28" i="13" s="1"/>
  <c r="L27" i="13"/>
  <c r="H27" i="13"/>
  <c r="O27" i="13" s="1"/>
  <c r="L26" i="13"/>
  <c r="H26" i="13"/>
  <c r="O26" i="13" s="1"/>
  <c r="L25" i="13"/>
  <c r="H25" i="13"/>
  <c r="O25" i="13" s="1"/>
  <c r="L24" i="13"/>
  <c r="H24" i="13"/>
  <c r="O24" i="13" s="1"/>
  <c r="L23" i="13"/>
  <c r="H23" i="13"/>
  <c r="G59" i="12"/>
  <c r="G58" i="12"/>
  <c r="H57" i="12"/>
  <c r="H55" i="12"/>
  <c r="L53" i="12"/>
  <c r="H53" i="12"/>
  <c r="K48" i="12"/>
  <c r="G49" i="12"/>
  <c r="L46" i="12"/>
  <c r="H46" i="12"/>
  <c r="K45" i="12"/>
  <c r="G45" i="12"/>
  <c r="K44" i="12"/>
  <c r="L44" i="12" s="1"/>
  <c r="G44" i="12"/>
  <c r="H44" i="12" s="1"/>
  <c r="K43" i="12"/>
  <c r="L43" i="12" s="1"/>
  <c r="G43" i="12"/>
  <c r="H43" i="12" s="1"/>
  <c r="O43" i="12" s="1"/>
  <c r="K42" i="12"/>
  <c r="L42" i="12" s="1"/>
  <c r="G42" i="12"/>
  <c r="H42" i="12" s="1"/>
  <c r="L41" i="12"/>
  <c r="H41" i="12"/>
  <c r="K40" i="12"/>
  <c r="L40" i="12" s="1"/>
  <c r="G40" i="12"/>
  <c r="H40" i="12" s="1"/>
  <c r="K38" i="12"/>
  <c r="L38" i="12" s="1"/>
  <c r="G38" i="12"/>
  <c r="H38" i="12" s="1"/>
  <c r="O38" i="12" s="1"/>
  <c r="K37" i="12"/>
  <c r="L37" i="12" s="1"/>
  <c r="G37" i="12"/>
  <c r="H37" i="12" s="1"/>
  <c r="O37" i="12" s="1"/>
  <c r="K36" i="12"/>
  <c r="L36" i="12" s="1"/>
  <c r="G36" i="12"/>
  <c r="H36" i="12" s="1"/>
  <c r="O36" i="12" s="1"/>
  <c r="K35" i="12"/>
  <c r="L35" i="12" s="1"/>
  <c r="G35" i="12"/>
  <c r="H35" i="12" s="1"/>
  <c r="O35" i="12" s="1"/>
  <c r="K34" i="12"/>
  <c r="L34" i="12" s="1"/>
  <c r="G34" i="12"/>
  <c r="H34" i="12" s="1"/>
  <c r="O34" i="12" s="1"/>
  <c r="K33" i="12"/>
  <c r="L33" i="12" s="1"/>
  <c r="G33" i="12"/>
  <c r="H33" i="12" s="1"/>
  <c r="O33" i="12" s="1"/>
  <c r="K32" i="12"/>
  <c r="L32" i="12" s="1"/>
  <c r="G32" i="12"/>
  <c r="H32" i="12" s="1"/>
  <c r="O32" i="12" s="1"/>
  <c r="K31" i="12"/>
  <c r="L31" i="12" s="1"/>
  <c r="G31" i="12"/>
  <c r="H31" i="12" s="1"/>
  <c r="K30" i="12"/>
  <c r="L30" i="12" s="1"/>
  <c r="G30" i="12"/>
  <c r="H30" i="12" s="1"/>
  <c r="O30" i="12" s="1"/>
  <c r="K29" i="12"/>
  <c r="L29" i="12" s="1"/>
  <c r="G29" i="12"/>
  <c r="H29" i="12" s="1"/>
  <c r="L28" i="12"/>
  <c r="H28" i="12"/>
  <c r="O28" i="12" s="1"/>
  <c r="L27" i="12"/>
  <c r="H27" i="12"/>
  <c r="O27" i="12" s="1"/>
  <c r="L26" i="12"/>
  <c r="H26" i="12"/>
  <c r="O26" i="12" s="1"/>
  <c r="L25" i="12"/>
  <c r="H25" i="12"/>
  <c r="O25" i="12" s="1"/>
  <c r="L24" i="12"/>
  <c r="H24" i="12"/>
  <c r="O24" i="12" s="1"/>
  <c r="L23" i="12"/>
  <c r="H23" i="12"/>
  <c r="G59" i="11"/>
  <c r="G58" i="11"/>
  <c r="G57" i="11"/>
  <c r="L53" i="11"/>
  <c r="H53" i="11"/>
  <c r="L46" i="11"/>
  <c r="H46" i="11"/>
  <c r="K45" i="11"/>
  <c r="G45" i="11"/>
  <c r="H45" i="11" s="1"/>
  <c r="K44" i="11"/>
  <c r="L44" i="11" s="1"/>
  <c r="G44" i="11"/>
  <c r="H44" i="11" s="1"/>
  <c r="K43" i="11"/>
  <c r="L43" i="11" s="1"/>
  <c r="H43" i="11"/>
  <c r="O43" i="11" s="1"/>
  <c r="K42" i="11"/>
  <c r="L42" i="11" s="1"/>
  <c r="G42" i="11"/>
  <c r="H42" i="11" s="1"/>
  <c r="L41" i="11"/>
  <c r="K40" i="11"/>
  <c r="L40" i="11" s="1"/>
  <c r="G40" i="11"/>
  <c r="H40" i="11" s="1"/>
  <c r="K38" i="11"/>
  <c r="L38" i="11" s="1"/>
  <c r="G38" i="11"/>
  <c r="H38" i="11" s="1"/>
  <c r="O38" i="11" s="1"/>
  <c r="K37" i="11"/>
  <c r="L37" i="11" s="1"/>
  <c r="G37" i="11"/>
  <c r="H37" i="11" s="1"/>
  <c r="O37" i="11" s="1"/>
  <c r="K36" i="11"/>
  <c r="L36" i="11" s="1"/>
  <c r="G36" i="11"/>
  <c r="H36" i="11" s="1"/>
  <c r="O36" i="11" s="1"/>
  <c r="K35" i="11"/>
  <c r="L35" i="11" s="1"/>
  <c r="G35" i="11"/>
  <c r="H35" i="11" s="1"/>
  <c r="O35" i="11" s="1"/>
  <c r="K34" i="11"/>
  <c r="L34" i="11" s="1"/>
  <c r="G34" i="11"/>
  <c r="H34" i="11" s="1"/>
  <c r="O34" i="11" s="1"/>
  <c r="K33" i="11"/>
  <c r="L33" i="11" s="1"/>
  <c r="G33" i="11"/>
  <c r="H33" i="11" s="1"/>
  <c r="K32" i="11"/>
  <c r="L32" i="11" s="1"/>
  <c r="G32" i="11"/>
  <c r="H32" i="11" s="1"/>
  <c r="O32" i="11" s="1"/>
  <c r="K31" i="11"/>
  <c r="L31" i="11" s="1"/>
  <c r="G31" i="11"/>
  <c r="H31" i="11" s="1"/>
  <c r="K30" i="11"/>
  <c r="L30" i="11" s="1"/>
  <c r="G30" i="11"/>
  <c r="H30" i="11" s="1"/>
  <c r="O30" i="11" s="1"/>
  <c r="K29" i="11"/>
  <c r="L29" i="11" s="1"/>
  <c r="G29" i="11"/>
  <c r="H29" i="11" s="1"/>
  <c r="L28" i="11"/>
  <c r="H28" i="11"/>
  <c r="O28" i="11" s="1"/>
  <c r="L27" i="11"/>
  <c r="H27" i="11"/>
  <c r="O27" i="11" s="1"/>
  <c r="L26" i="11"/>
  <c r="H26" i="11"/>
  <c r="O26" i="11" s="1"/>
  <c r="L25" i="11"/>
  <c r="H25" i="11"/>
  <c r="O25" i="11" s="1"/>
  <c r="L24" i="11"/>
  <c r="H24" i="11"/>
  <c r="O24" i="11" s="1"/>
  <c r="L23" i="11"/>
  <c r="H23" i="11"/>
  <c r="G61" i="10"/>
  <c r="K61" i="10" s="1"/>
  <c r="L61" i="10" s="1"/>
  <c r="G60" i="10"/>
  <c r="K56" i="10"/>
  <c r="J56" i="10"/>
  <c r="G56" i="10"/>
  <c r="H56" i="10" s="1"/>
  <c r="L54" i="10"/>
  <c r="H54" i="10"/>
  <c r="K49" i="10"/>
  <c r="K50" i="10" s="1"/>
  <c r="G49" i="10"/>
  <c r="H49" i="10" s="1"/>
  <c r="J47" i="10"/>
  <c r="H47" i="10"/>
  <c r="O47" i="10" s="1"/>
  <c r="K46" i="10"/>
  <c r="G46" i="10"/>
  <c r="K45" i="10"/>
  <c r="L45" i="10" s="1"/>
  <c r="G45" i="10"/>
  <c r="H45" i="10" s="1"/>
  <c r="L43" i="10"/>
  <c r="H43" i="10"/>
  <c r="K42" i="10"/>
  <c r="L42" i="10" s="1"/>
  <c r="G42" i="10"/>
  <c r="H42" i="10" s="1"/>
  <c r="L41" i="10"/>
  <c r="H41" i="10"/>
  <c r="K40" i="10"/>
  <c r="L40" i="10" s="1"/>
  <c r="G40" i="10"/>
  <c r="H40" i="10" s="1"/>
  <c r="K38" i="10"/>
  <c r="L38" i="10" s="1"/>
  <c r="G38" i="10"/>
  <c r="H38" i="10" s="1"/>
  <c r="O38" i="10" s="1"/>
  <c r="K37" i="10"/>
  <c r="L37" i="10" s="1"/>
  <c r="G37" i="10"/>
  <c r="H37" i="10" s="1"/>
  <c r="K36" i="10"/>
  <c r="L36" i="10" s="1"/>
  <c r="G36" i="10"/>
  <c r="H36" i="10" s="1"/>
  <c r="O36" i="10" s="1"/>
  <c r="K35" i="10"/>
  <c r="L35" i="10" s="1"/>
  <c r="G35" i="10"/>
  <c r="H35" i="10" s="1"/>
  <c r="O35" i="10" s="1"/>
  <c r="K34" i="10"/>
  <c r="L34" i="10" s="1"/>
  <c r="G34" i="10"/>
  <c r="H34" i="10" s="1"/>
  <c r="O34" i="10" s="1"/>
  <c r="K33" i="10"/>
  <c r="L33" i="10" s="1"/>
  <c r="G33" i="10"/>
  <c r="H33" i="10" s="1"/>
  <c r="K32" i="10"/>
  <c r="L32" i="10" s="1"/>
  <c r="G32" i="10"/>
  <c r="H32" i="10" s="1"/>
  <c r="O32" i="10" s="1"/>
  <c r="K31" i="10"/>
  <c r="L31" i="10" s="1"/>
  <c r="G31" i="10"/>
  <c r="H31" i="10" s="1"/>
  <c r="K30" i="10"/>
  <c r="L30" i="10" s="1"/>
  <c r="G30" i="10"/>
  <c r="H30" i="10" s="1"/>
  <c r="O30" i="10" s="1"/>
  <c r="K29" i="10"/>
  <c r="L29" i="10" s="1"/>
  <c r="G29" i="10"/>
  <c r="H29" i="10" s="1"/>
  <c r="L28" i="10"/>
  <c r="H28" i="10"/>
  <c r="O28" i="10" s="1"/>
  <c r="L27" i="10"/>
  <c r="H27" i="10"/>
  <c r="O27" i="10" s="1"/>
  <c r="L26" i="10"/>
  <c r="H26" i="10"/>
  <c r="L25" i="10"/>
  <c r="H25" i="10"/>
  <c r="O25" i="10" s="1"/>
  <c r="L24" i="10"/>
  <c r="H24" i="10"/>
  <c r="O24" i="10" s="1"/>
  <c r="L23" i="10"/>
  <c r="H23" i="10"/>
  <c r="N44" i="21" l="1"/>
  <c r="N60" i="20"/>
  <c r="O60" i="20" s="1"/>
  <c r="N28" i="10"/>
  <c r="N25" i="10"/>
  <c r="G50" i="10"/>
  <c r="H50" i="10" s="1"/>
  <c r="N27" i="10"/>
  <c r="N24" i="10"/>
  <c r="N45" i="10"/>
  <c r="O45" i="10" s="1"/>
  <c r="N46" i="26"/>
  <c r="O46" i="26" s="1"/>
  <c r="L53" i="26"/>
  <c r="N53" i="26" s="1"/>
  <c r="O53" i="26" s="1"/>
  <c r="K55" i="26"/>
  <c r="L55" i="26" s="1"/>
  <c r="N61" i="24"/>
  <c r="O61" i="24" s="1"/>
  <c r="N46" i="24"/>
  <c r="O46" i="24" s="1"/>
  <c r="L39" i="21"/>
  <c r="K52" i="21"/>
  <c r="K55" i="21" s="1"/>
  <c r="L55" i="21" s="1"/>
  <c r="H59" i="21"/>
  <c r="N59" i="21" s="1"/>
  <c r="O59" i="21" s="1"/>
  <c r="K58" i="21"/>
  <c r="L58" i="21" s="1"/>
  <c r="N58" i="21" s="1"/>
  <c r="O58" i="21" s="1"/>
  <c r="N43" i="18"/>
  <c r="N34" i="18"/>
  <c r="K60" i="17"/>
  <c r="L60" i="17" s="1"/>
  <c r="N60" i="17" s="1"/>
  <c r="O60" i="17" s="1"/>
  <c r="N34" i="17"/>
  <c r="H59" i="16"/>
  <c r="N24" i="15"/>
  <c r="N25" i="12"/>
  <c r="N28" i="12"/>
  <c r="N26" i="12"/>
  <c r="K58" i="12"/>
  <c r="L58" i="12" s="1"/>
  <c r="N27" i="12"/>
  <c r="H58" i="12"/>
  <c r="N24" i="12"/>
  <c r="N53" i="12"/>
  <c r="O53" i="12" s="1"/>
  <c r="K53" i="24"/>
  <c r="L52" i="24"/>
  <c r="N52" i="24" s="1"/>
  <c r="O52" i="24" s="1"/>
  <c r="H53" i="24"/>
  <c r="G55" i="24"/>
  <c r="H55" i="24" s="1"/>
  <c r="N37" i="17"/>
  <c r="N43" i="17"/>
  <c r="N42" i="17"/>
  <c r="O42" i="17" s="1"/>
  <c r="N31" i="17"/>
  <c r="O31" i="17" s="1"/>
  <c r="N60" i="19"/>
  <c r="O60" i="19" s="1"/>
  <c r="N59" i="17"/>
  <c r="O59" i="17" s="1"/>
  <c r="H56" i="11"/>
  <c r="N53" i="15"/>
  <c r="O53" i="15" s="1"/>
  <c r="N31" i="11"/>
  <c r="O31" i="11" s="1"/>
  <c r="L45" i="14"/>
  <c r="N46" i="11"/>
  <c r="O46" i="11" s="1"/>
  <c r="N40" i="11"/>
  <c r="O40" i="11" s="1"/>
  <c r="N53" i="11"/>
  <c r="O53" i="11" s="1"/>
  <c r="L45" i="18"/>
  <c r="N53" i="17"/>
  <c r="O53" i="17" s="1"/>
  <c r="L45" i="13"/>
  <c r="L45" i="12"/>
  <c r="K49" i="14"/>
  <c r="L49" i="14" s="1"/>
  <c r="L45" i="17"/>
  <c r="L45" i="11"/>
  <c r="H48" i="24"/>
  <c r="H51" i="24" s="1"/>
  <c r="L56" i="10"/>
  <c r="N56" i="10" s="1"/>
  <c r="O56" i="10" s="1"/>
  <c r="N56" i="21"/>
  <c r="O56" i="21" s="1"/>
  <c r="O45" i="20"/>
  <c r="L50" i="10"/>
  <c r="L49" i="10"/>
  <c r="N49" i="10" s="1"/>
  <c r="O49" i="10" s="1"/>
  <c r="D56" i="28"/>
  <c r="G52" i="21"/>
  <c r="O45" i="19"/>
  <c r="H45" i="18"/>
  <c r="H48" i="18"/>
  <c r="L55" i="18"/>
  <c r="N55" i="18" s="1"/>
  <c r="O55" i="18" s="1"/>
  <c r="H48" i="17"/>
  <c r="H45" i="17"/>
  <c r="L55" i="17"/>
  <c r="N55" i="17" s="1"/>
  <c r="O55" i="17" s="1"/>
  <c r="N46" i="15"/>
  <c r="O46" i="15" s="1"/>
  <c r="G52" i="13"/>
  <c r="H52" i="13" s="1"/>
  <c r="G51" i="12"/>
  <c r="H51" i="12" s="1"/>
  <c r="G52" i="12"/>
  <c r="H52" i="12" s="1"/>
  <c r="H48" i="12"/>
  <c r="N44" i="12"/>
  <c r="O44" i="12" s="1"/>
  <c r="H59" i="11"/>
  <c r="K59" i="11"/>
  <c r="L59" i="11" s="1"/>
  <c r="N29" i="14"/>
  <c r="O29" i="14" s="1"/>
  <c r="N23" i="12"/>
  <c r="O23" i="12" s="1"/>
  <c r="L48" i="16"/>
  <c r="E56" i="28"/>
  <c r="N41" i="13"/>
  <c r="O41" i="13" s="1"/>
  <c r="N28" i="18"/>
  <c r="N27" i="18"/>
  <c r="E31" i="28"/>
  <c r="D31" i="28"/>
  <c r="N27" i="15"/>
  <c r="N28" i="15"/>
  <c r="N23" i="15"/>
  <c r="O23" i="15" s="1"/>
  <c r="O24" i="15"/>
  <c r="N25" i="15"/>
  <c r="N26" i="15"/>
  <c r="N31" i="15"/>
  <c r="O31" i="15" s="1"/>
  <c r="N25" i="13"/>
  <c r="H57" i="10"/>
  <c r="K57" i="10"/>
  <c r="L57" i="10" s="1"/>
  <c r="O33" i="10"/>
  <c r="N33" i="10"/>
  <c r="H59" i="10"/>
  <c r="K59" i="10"/>
  <c r="L59" i="10" s="1"/>
  <c r="H61" i="10"/>
  <c r="O61" i="10" s="1"/>
  <c r="L45" i="16"/>
  <c r="H58" i="16"/>
  <c r="H45" i="16"/>
  <c r="N53" i="16"/>
  <c r="O53" i="16" s="1"/>
  <c r="H39" i="16"/>
  <c r="G49" i="16"/>
  <c r="H49" i="16" s="1"/>
  <c r="K56" i="16"/>
  <c r="L56" i="16" s="1"/>
  <c r="K58" i="16"/>
  <c r="L58" i="16" s="1"/>
  <c r="N29" i="16"/>
  <c r="O29" i="16" s="1"/>
  <c r="N35" i="16"/>
  <c r="N36" i="16"/>
  <c r="N44" i="16"/>
  <c r="O44" i="16" s="1"/>
  <c r="N59" i="26"/>
  <c r="O59" i="26" s="1"/>
  <c r="O52" i="26"/>
  <c r="H48" i="26"/>
  <c r="N57" i="26"/>
  <c r="O57" i="26" s="1"/>
  <c r="N39" i="26"/>
  <c r="O39" i="26" s="1"/>
  <c r="L48" i="26"/>
  <c r="N61" i="26"/>
  <c r="O61" i="26" s="1"/>
  <c r="N50" i="26"/>
  <c r="O50" i="26" s="1"/>
  <c r="N57" i="24"/>
  <c r="O57" i="24" s="1"/>
  <c r="N50" i="24"/>
  <c r="O50" i="24" s="1"/>
  <c r="N58" i="24"/>
  <c r="O58" i="24" s="1"/>
  <c r="L48" i="24"/>
  <c r="N39" i="24"/>
  <c r="O39" i="24" s="1"/>
  <c r="N42" i="21"/>
  <c r="O42" i="21" s="1"/>
  <c r="N50" i="21"/>
  <c r="O50" i="21" s="1"/>
  <c r="N47" i="21"/>
  <c r="N34" i="21"/>
  <c r="N38" i="21"/>
  <c r="N35" i="21"/>
  <c r="N46" i="21"/>
  <c r="O46" i="21" s="1"/>
  <c r="H39" i="21"/>
  <c r="N37" i="21"/>
  <c r="N32" i="21"/>
  <c r="N36" i="21"/>
  <c r="N43" i="21"/>
  <c r="O43" i="21" s="1"/>
  <c r="K57" i="21"/>
  <c r="L57" i="21" s="1"/>
  <c r="H57" i="21"/>
  <c r="N30" i="21"/>
  <c r="K41" i="21"/>
  <c r="L41" i="21" s="1"/>
  <c r="L48" i="21" s="1"/>
  <c r="H41" i="21"/>
  <c r="H61" i="21"/>
  <c r="K61" i="21"/>
  <c r="L61" i="21" s="1"/>
  <c r="N49" i="21"/>
  <c r="O49" i="21" s="1"/>
  <c r="N33" i="21"/>
  <c r="N56" i="20"/>
  <c r="O56" i="20" s="1"/>
  <c r="L47" i="20"/>
  <c r="N39" i="20"/>
  <c r="O39" i="20" s="1"/>
  <c r="G52" i="20"/>
  <c r="H52" i="20" s="1"/>
  <c r="G51" i="20"/>
  <c r="H51" i="20" s="1"/>
  <c r="N51" i="20" s="1"/>
  <c r="H49" i="20"/>
  <c r="N49" i="20" s="1"/>
  <c r="N48" i="20"/>
  <c r="O48" i="20" s="1"/>
  <c r="H47" i="20"/>
  <c r="N58" i="20"/>
  <c r="O58" i="20" s="1"/>
  <c r="N58" i="19"/>
  <c r="O58" i="19" s="1"/>
  <c r="N56" i="19"/>
  <c r="O56" i="19" s="1"/>
  <c r="N51" i="19"/>
  <c r="O51" i="19" s="1"/>
  <c r="H47" i="19"/>
  <c r="N39" i="19"/>
  <c r="O39" i="19" s="1"/>
  <c r="L47" i="19"/>
  <c r="N48" i="19"/>
  <c r="O48" i="19" s="1"/>
  <c r="N57" i="19"/>
  <c r="O57" i="19" s="1"/>
  <c r="N49" i="19"/>
  <c r="O49" i="19" s="1"/>
  <c r="N52" i="19"/>
  <c r="O52" i="19" s="1"/>
  <c r="K57" i="18"/>
  <c r="L57" i="18" s="1"/>
  <c r="N57" i="18" s="1"/>
  <c r="O57" i="18" s="1"/>
  <c r="H58" i="18"/>
  <c r="K60" i="18"/>
  <c r="L60" i="18" s="1"/>
  <c r="N60" i="18" s="1"/>
  <c r="O60" i="18" s="1"/>
  <c r="N32" i="18"/>
  <c r="N41" i="18"/>
  <c r="O41" i="18" s="1"/>
  <c r="K58" i="18"/>
  <c r="L58" i="18" s="1"/>
  <c r="N25" i="18"/>
  <c r="H39" i="18"/>
  <c r="N30" i="18"/>
  <c r="N35" i="18"/>
  <c r="N44" i="18"/>
  <c r="O44" i="18" s="1"/>
  <c r="L39" i="18"/>
  <c r="N23" i="18"/>
  <c r="O23" i="18" s="1"/>
  <c r="N26" i="18"/>
  <c r="N31" i="18"/>
  <c r="O31" i="18" s="1"/>
  <c r="N40" i="18"/>
  <c r="O40" i="18" s="1"/>
  <c r="N46" i="18"/>
  <c r="O46" i="18" s="1"/>
  <c r="N36" i="18"/>
  <c r="N24" i="18"/>
  <c r="O33" i="18"/>
  <c r="N33" i="18"/>
  <c r="N37" i="18"/>
  <c r="N42" i="18"/>
  <c r="O42" i="18" s="1"/>
  <c r="N59" i="18"/>
  <c r="O59" i="18" s="1"/>
  <c r="N29" i="18"/>
  <c r="O29" i="18" s="1"/>
  <c r="N38" i="18"/>
  <c r="G52" i="18"/>
  <c r="H52" i="18" s="1"/>
  <c r="H49" i="18"/>
  <c r="G51" i="18"/>
  <c r="H51" i="18" s="1"/>
  <c r="K56" i="18"/>
  <c r="L56" i="18" s="1"/>
  <c r="H56" i="18"/>
  <c r="L48" i="18"/>
  <c r="K51" i="18"/>
  <c r="L51" i="18" s="1"/>
  <c r="L49" i="18"/>
  <c r="N53" i="18"/>
  <c r="O53" i="18" s="1"/>
  <c r="N36" i="17"/>
  <c r="N44" i="17"/>
  <c r="O44" i="17" s="1"/>
  <c r="H39" i="17"/>
  <c r="O28" i="17"/>
  <c r="L39" i="17"/>
  <c r="N23" i="17"/>
  <c r="N29" i="17"/>
  <c r="O29" i="17" s="1"/>
  <c r="N40" i="17"/>
  <c r="O40" i="17" s="1"/>
  <c r="N41" i="17"/>
  <c r="O41" i="17" s="1"/>
  <c r="N32" i="17"/>
  <c r="N33" i="17"/>
  <c r="O35" i="17"/>
  <c r="N35" i="17"/>
  <c r="N30" i="17"/>
  <c r="N38" i="17"/>
  <c r="K49" i="17"/>
  <c r="L49" i="17" s="1"/>
  <c r="L48" i="17"/>
  <c r="G51" i="17"/>
  <c r="H51" i="17" s="1"/>
  <c r="H49" i="17"/>
  <c r="N57" i="17"/>
  <c r="O57" i="17" s="1"/>
  <c r="N24" i="17"/>
  <c r="N25" i="17"/>
  <c r="N26" i="17"/>
  <c r="N27" i="17"/>
  <c r="G52" i="17"/>
  <c r="H52" i="17" s="1"/>
  <c r="N28" i="17"/>
  <c r="N46" i="17"/>
  <c r="O46" i="17" s="1"/>
  <c r="K58" i="17"/>
  <c r="L58" i="17" s="1"/>
  <c r="K56" i="17"/>
  <c r="L56" i="17" s="1"/>
  <c r="N30" i="16"/>
  <c r="N32" i="16"/>
  <c r="N38" i="16"/>
  <c r="N40" i="16"/>
  <c r="O40" i="16" s="1"/>
  <c r="N41" i="16"/>
  <c r="O41" i="16" s="1"/>
  <c r="O33" i="16"/>
  <c r="N33" i="16"/>
  <c r="N42" i="16"/>
  <c r="O42" i="16" s="1"/>
  <c r="N34" i="16"/>
  <c r="O37" i="16"/>
  <c r="N37" i="16"/>
  <c r="N43" i="16"/>
  <c r="N23" i="16"/>
  <c r="O23" i="16" s="1"/>
  <c r="N25" i="16"/>
  <c r="L39" i="16"/>
  <c r="N46" i="16"/>
  <c r="O46" i="16" s="1"/>
  <c r="N26" i="16"/>
  <c r="L49" i="16"/>
  <c r="K52" i="16"/>
  <c r="L52" i="16" s="1"/>
  <c r="K51" i="16"/>
  <c r="L51" i="16" s="1"/>
  <c r="N27" i="16"/>
  <c r="N31" i="16"/>
  <c r="O31" i="16" s="1"/>
  <c r="N24" i="16"/>
  <c r="N28" i="16"/>
  <c r="K55" i="16"/>
  <c r="L55" i="16" s="1"/>
  <c r="K59" i="16"/>
  <c r="L59" i="16" s="1"/>
  <c r="K57" i="16"/>
  <c r="L57" i="16" s="1"/>
  <c r="G49" i="15"/>
  <c r="G51" i="15" s="1"/>
  <c r="H51" i="15" s="1"/>
  <c r="K55" i="15"/>
  <c r="L55" i="15" s="1"/>
  <c r="N55" i="15" s="1"/>
  <c r="O55" i="15" s="1"/>
  <c r="K59" i="15"/>
  <c r="L59" i="15" s="1"/>
  <c r="N59" i="15" s="1"/>
  <c r="O59" i="15" s="1"/>
  <c r="H45" i="15"/>
  <c r="N45" i="15" s="1"/>
  <c r="O45" i="15" s="1"/>
  <c r="N29" i="15"/>
  <c r="O29" i="15" s="1"/>
  <c r="O30" i="15"/>
  <c r="H39" i="15"/>
  <c r="N37" i="15"/>
  <c r="N40" i="15"/>
  <c r="O40" i="15" s="1"/>
  <c r="N57" i="15"/>
  <c r="O57" i="15" s="1"/>
  <c r="N35" i="15"/>
  <c r="N43" i="15"/>
  <c r="K49" i="15"/>
  <c r="L48" i="15"/>
  <c r="N30" i="15"/>
  <c r="N32" i="15"/>
  <c r="N34" i="15"/>
  <c r="N41" i="15"/>
  <c r="O41" i="15" s="1"/>
  <c r="N44" i="15"/>
  <c r="O44" i="15" s="1"/>
  <c r="L39" i="15"/>
  <c r="N33" i="15"/>
  <c r="N38" i="15"/>
  <c r="N36" i="15"/>
  <c r="N42" i="15"/>
  <c r="O42" i="15" s="1"/>
  <c r="K56" i="15"/>
  <c r="L56" i="15" s="1"/>
  <c r="K58" i="15"/>
  <c r="L58" i="15" s="1"/>
  <c r="H45" i="14"/>
  <c r="H59" i="14"/>
  <c r="N40" i="14"/>
  <c r="O40" i="14" s="1"/>
  <c r="N31" i="14"/>
  <c r="O31" i="14" s="1"/>
  <c r="N32" i="14"/>
  <c r="N43" i="14"/>
  <c r="O43" i="14"/>
  <c r="H39" i="14"/>
  <c r="O35" i="14"/>
  <c r="N35" i="14"/>
  <c r="N44" i="14"/>
  <c r="O44" i="14" s="1"/>
  <c r="N36" i="14"/>
  <c r="N38" i="14"/>
  <c r="N42" i="14"/>
  <c r="O42" i="14" s="1"/>
  <c r="G49" i="14"/>
  <c r="H48" i="14"/>
  <c r="N48" i="14" s="1"/>
  <c r="N26" i="14"/>
  <c r="N41" i="14"/>
  <c r="O41" i="14" s="1"/>
  <c r="N24" i="14"/>
  <c r="N28" i="14"/>
  <c r="N33" i="14"/>
  <c r="N37" i="14"/>
  <c r="K58" i="14"/>
  <c r="L58" i="14" s="1"/>
  <c r="N25" i="14"/>
  <c r="N30" i="14"/>
  <c r="N34" i="14"/>
  <c r="N55" i="14"/>
  <c r="O55" i="14" s="1"/>
  <c r="N23" i="14"/>
  <c r="O23" i="14" s="1"/>
  <c r="N27" i="14"/>
  <c r="L39" i="14"/>
  <c r="N46" i="14"/>
  <c r="O46" i="14" s="1"/>
  <c r="N53" i="14"/>
  <c r="O53" i="14" s="1"/>
  <c r="K56" i="14"/>
  <c r="L56" i="14" s="1"/>
  <c r="N57" i="14"/>
  <c r="O57" i="14" s="1"/>
  <c r="N36" i="13"/>
  <c r="N43" i="13"/>
  <c r="G51" i="13"/>
  <c r="H51" i="13" s="1"/>
  <c r="K55" i="13"/>
  <c r="L55" i="13" s="1"/>
  <c r="N55" i="13" s="1"/>
  <c r="O55" i="13" s="1"/>
  <c r="K59" i="13"/>
  <c r="L59" i="13" s="1"/>
  <c r="N33" i="13"/>
  <c r="N44" i="13"/>
  <c r="O44" i="13" s="1"/>
  <c r="L48" i="13"/>
  <c r="N31" i="13"/>
  <c r="O31" i="13" s="1"/>
  <c r="N38" i="13"/>
  <c r="O38" i="13"/>
  <c r="O30" i="13"/>
  <c r="N30" i="13"/>
  <c r="N40" i="13"/>
  <c r="O40" i="13" s="1"/>
  <c r="N57" i="13"/>
  <c r="O57" i="13" s="1"/>
  <c r="L39" i="13"/>
  <c r="N24" i="13"/>
  <c r="N46" i="13"/>
  <c r="O46" i="13" s="1"/>
  <c r="K52" i="13"/>
  <c r="L52" i="13" s="1"/>
  <c r="K51" i="13"/>
  <c r="L51" i="13" s="1"/>
  <c r="L49" i="13"/>
  <c r="N23" i="13"/>
  <c r="O23" i="13" s="1"/>
  <c r="N27" i="13"/>
  <c r="N29" i="13"/>
  <c r="O29" i="13" s="1"/>
  <c r="N34" i="13"/>
  <c r="N32" i="13"/>
  <c r="N35" i="13"/>
  <c r="N37" i="13"/>
  <c r="N42" i="13"/>
  <c r="O42" i="13" s="1"/>
  <c r="H39" i="13"/>
  <c r="N26" i="13"/>
  <c r="N28" i="13"/>
  <c r="H45" i="13"/>
  <c r="H48" i="13"/>
  <c r="N53" i="13"/>
  <c r="O53" i="13" s="1"/>
  <c r="K56" i="13"/>
  <c r="L56" i="13" s="1"/>
  <c r="K58" i="13"/>
  <c r="L58" i="13" s="1"/>
  <c r="N30" i="12"/>
  <c r="N34" i="12"/>
  <c r="K57" i="12"/>
  <c r="L57" i="12" s="1"/>
  <c r="N57" i="12" s="1"/>
  <c r="O57" i="12" s="1"/>
  <c r="H39" i="12"/>
  <c r="N38" i="12"/>
  <c r="N32" i="12"/>
  <c r="N36" i="12"/>
  <c r="N41" i="12"/>
  <c r="O41" i="12" s="1"/>
  <c r="H49" i="12"/>
  <c r="K56" i="12"/>
  <c r="L56" i="12" s="1"/>
  <c r="N29" i="12"/>
  <c r="O29" i="12" s="1"/>
  <c r="N37" i="12"/>
  <c r="N42" i="12"/>
  <c r="O42" i="12" s="1"/>
  <c r="N31" i="12"/>
  <c r="O31" i="12" s="1"/>
  <c r="N35" i="12"/>
  <c r="N40" i="12"/>
  <c r="O40" i="12" s="1"/>
  <c r="N33" i="12"/>
  <c r="N46" i="12"/>
  <c r="O46" i="12" s="1"/>
  <c r="L39" i="12"/>
  <c r="N43" i="12"/>
  <c r="K49" i="12"/>
  <c r="L48" i="12"/>
  <c r="H45" i="12"/>
  <c r="H59" i="12"/>
  <c r="K59" i="12"/>
  <c r="L59" i="12" s="1"/>
  <c r="K55" i="12"/>
  <c r="L55" i="12" s="1"/>
  <c r="H56" i="12"/>
  <c r="N33" i="11"/>
  <c r="O33" i="11"/>
  <c r="N34" i="11"/>
  <c r="K55" i="11"/>
  <c r="L55" i="11" s="1"/>
  <c r="K57" i="11"/>
  <c r="L57" i="11" s="1"/>
  <c r="H48" i="11"/>
  <c r="H55" i="11"/>
  <c r="H57" i="11"/>
  <c r="N27" i="11"/>
  <c r="N38" i="11"/>
  <c r="H39" i="11"/>
  <c r="N41" i="11"/>
  <c r="O41" i="11" s="1"/>
  <c r="N29" i="11"/>
  <c r="O29" i="11" s="1"/>
  <c r="N32" i="11"/>
  <c r="N43" i="11"/>
  <c r="N42" i="11"/>
  <c r="O42" i="11" s="1"/>
  <c r="L48" i="11"/>
  <c r="N23" i="11"/>
  <c r="O23" i="11" s="1"/>
  <c r="L39" i="11"/>
  <c r="N30" i="11"/>
  <c r="N37" i="11"/>
  <c r="N28" i="11"/>
  <c r="G52" i="11"/>
  <c r="H52" i="11" s="1"/>
  <c r="G51" i="11"/>
  <c r="H51" i="11" s="1"/>
  <c r="K58" i="11"/>
  <c r="L58" i="11" s="1"/>
  <c r="H58" i="11"/>
  <c r="N25" i="11"/>
  <c r="N35" i="11"/>
  <c r="N44" i="11"/>
  <c r="O44" i="11" s="1"/>
  <c r="H49" i="11"/>
  <c r="N24" i="11"/>
  <c r="N26" i="11"/>
  <c r="N36" i="11"/>
  <c r="K56" i="11"/>
  <c r="L56" i="11" s="1"/>
  <c r="N29" i="10"/>
  <c r="O29" i="10" s="1"/>
  <c r="N35" i="10"/>
  <c r="N42" i="10"/>
  <c r="O42" i="10" s="1"/>
  <c r="L39" i="10"/>
  <c r="N36" i="10"/>
  <c r="H39" i="10"/>
  <c r="O26" i="10"/>
  <c r="N26" i="10"/>
  <c r="N32" i="10"/>
  <c r="O37" i="10"/>
  <c r="N37" i="10"/>
  <c r="K52" i="10"/>
  <c r="L46" i="10"/>
  <c r="N34" i="10"/>
  <c r="N43" i="10"/>
  <c r="O43" i="10" s="1"/>
  <c r="H46" i="10"/>
  <c r="G52" i="10"/>
  <c r="K60" i="10"/>
  <c r="L60" i="10" s="1"/>
  <c r="H60" i="10"/>
  <c r="N23" i="10"/>
  <c r="N30" i="10"/>
  <c r="N31" i="10"/>
  <c r="O31" i="10" s="1"/>
  <c r="N38" i="10"/>
  <c r="N40" i="10"/>
  <c r="O40" i="10" s="1"/>
  <c r="N41" i="10"/>
  <c r="O41" i="10" s="1"/>
  <c r="L47" i="10"/>
  <c r="N54" i="10"/>
  <c r="O54" i="10" s="1"/>
  <c r="K58" i="10"/>
  <c r="L58" i="10" s="1"/>
  <c r="H58" i="10"/>
  <c r="L47" i="14" l="1"/>
  <c r="L48" i="10"/>
  <c r="H48" i="10"/>
  <c r="N39" i="21"/>
  <c r="N50" i="10"/>
  <c r="O50" i="10" s="1"/>
  <c r="L52" i="21"/>
  <c r="K53" i="21"/>
  <c r="L53" i="21" s="1"/>
  <c r="H52" i="21"/>
  <c r="G55" i="21"/>
  <c r="H55" i="21" s="1"/>
  <c r="H47" i="17"/>
  <c r="H50" i="17" s="1"/>
  <c r="H62" i="17" s="1"/>
  <c r="N56" i="16"/>
  <c r="O56" i="16" s="1"/>
  <c r="N48" i="16"/>
  <c r="O48" i="16" s="1"/>
  <c r="N58" i="12"/>
  <c r="O58" i="12" s="1"/>
  <c r="K55" i="24"/>
  <c r="L55" i="24" s="1"/>
  <c r="L53" i="24"/>
  <c r="N59" i="10"/>
  <c r="O59" i="10" s="1"/>
  <c r="N59" i="13"/>
  <c r="N45" i="11"/>
  <c r="O45" i="11" s="1"/>
  <c r="N45" i="14"/>
  <c r="O45" i="14" s="1"/>
  <c r="K51" i="14"/>
  <c r="L51" i="14" s="1"/>
  <c r="N45" i="18"/>
  <c r="O45" i="18" s="1"/>
  <c r="K52" i="14"/>
  <c r="L52" i="14" s="1"/>
  <c r="N55" i="11"/>
  <c r="O55" i="11" s="1"/>
  <c r="N58" i="16"/>
  <c r="O58" i="16" s="1"/>
  <c r="N59" i="11"/>
  <c r="O59" i="11" s="1"/>
  <c r="N45" i="17"/>
  <c r="O45" i="17" s="1"/>
  <c r="N45" i="16"/>
  <c r="O45" i="16" s="1"/>
  <c r="N57" i="11"/>
  <c r="O57" i="11" s="1"/>
  <c r="H49" i="15"/>
  <c r="G53" i="21"/>
  <c r="H53" i="21" s="1"/>
  <c r="N61" i="10"/>
  <c r="N59" i="14"/>
  <c r="O59" i="14" s="1"/>
  <c r="E57" i="28"/>
  <c r="O23" i="10"/>
  <c r="O23" i="17"/>
  <c r="E32" i="28"/>
  <c r="N57" i="10"/>
  <c r="O57" i="10" s="1"/>
  <c r="G52" i="16"/>
  <c r="H52" i="16" s="1"/>
  <c r="N52" i="16" s="1"/>
  <c r="O52" i="16" s="1"/>
  <c r="H47" i="16"/>
  <c r="H50" i="16" s="1"/>
  <c r="G51" i="16"/>
  <c r="H51" i="16" s="1"/>
  <c r="N51" i="16" s="1"/>
  <c r="O51" i="16" s="1"/>
  <c r="H51" i="26"/>
  <c r="N48" i="26"/>
  <c r="O48" i="26" s="1"/>
  <c r="L51" i="26"/>
  <c r="L51" i="24"/>
  <c r="N48" i="24"/>
  <c r="O48" i="24" s="1"/>
  <c r="H67" i="24"/>
  <c r="H63" i="24"/>
  <c r="N57" i="21"/>
  <c r="O57" i="21" s="1"/>
  <c r="N61" i="21"/>
  <c r="O61" i="21" s="1"/>
  <c r="N41" i="21"/>
  <c r="O41" i="21" s="1"/>
  <c r="H48" i="21"/>
  <c r="O39" i="21"/>
  <c r="O49" i="20"/>
  <c r="L50" i="20"/>
  <c r="N47" i="20"/>
  <c r="O47" i="20" s="1"/>
  <c r="N52" i="20"/>
  <c r="O52" i="20" s="1"/>
  <c r="H50" i="20"/>
  <c r="H62" i="20" s="1"/>
  <c r="O51" i="20"/>
  <c r="L50" i="19"/>
  <c r="N47" i="19"/>
  <c r="O47" i="19" s="1"/>
  <c r="H50" i="19"/>
  <c r="N58" i="18"/>
  <c r="O58" i="18" s="1"/>
  <c r="N48" i="18"/>
  <c r="O48" i="18" s="1"/>
  <c r="N51" i="18"/>
  <c r="O51" i="18" s="1"/>
  <c r="N52" i="18"/>
  <c r="O52" i="18" s="1"/>
  <c r="N49" i="18"/>
  <c r="O49" i="18" s="1"/>
  <c r="N56" i="18"/>
  <c r="O56" i="18" s="1"/>
  <c r="L47" i="18"/>
  <c r="N39" i="18"/>
  <c r="O39" i="18" s="1"/>
  <c r="H47" i="18"/>
  <c r="N58" i="17"/>
  <c r="O58" i="17" s="1"/>
  <c r="N48" i="17"/>
  <c r="O48" i="17" s="1"/>
  <c r="K51" i="17"/>
  <c r="L51" i="17" s="1"/>
  <c r="K52" i="17"/>
  <c r="L52" i="17" s="1"/>
  <c r="N56" i="17"/>
  <c r="O56" i="17" s="1"/>
  <c r="N39" i="17"/>
  <c r="O39" i="17" s="1"/>
  <c r="L47" i="17"/>
  <c r="N55" i="16"/>
  <c r="O55" i="16" s="1"/>
  <c r="L47" i="16"/>
  <c r="N39" i="16"/>
  <c r="O39" i="16" s="1"/>
  <c r="N57" i="16"/>
  <c r="O57" i="16" s="1"/>
  <c r="N59" i="16"/>
  <c r="O59" i="16" s="1"/>
  <c r="N49" i="16"/>
  <c r="O49" i="16" s="1"/>
  <c r="G52" i="15"/>
  <c r="H52" i="15" s="1"/>
  <c r="N39" i="15"/>
  <c r="O39" i="15" s="1"/>
  <c r="L47" i="15"/>
  <c r="K51" i="15"/>
  <c r="L51" i="15" s="1"/>
  <c r="K52" i="15"/>
  <c r="L52" i="15" s="1"/>
  <c r="L49" i="15"/>
  <c r="N56" i="15"/>
  <c r="O56" i="15" s="1"/>
  <c r="N58" i="15"/>
  <c r="O58" i="15" s="1"/>
  <c r="N48" i="15"/>
  <c r="O48" i="15" s="1"/>
  <c r="H47" i="15"/>
  <c r="N58" i="14"/>
  <c r="O58" i="14" s="1"/>
  <c r="N39" i="14"/>
  <c r="O39" i="14" s="1"/>
  <c r="H47" i="14"/>
  <c r="G52" i="14"/>
  <c r="H52" i="14" s="1"/>
  <c r="H49" i="14"/>
  <c r="G51" i="14"/>
  <c r="H51" i="14" s="1"/>
  <c r="N56" i="14"/>
  <c r="O56" i="14" s="1"/>
  <c r="O48" i="14"/>
  <c r="N49" i="13"/>
  <c r="O49" i="13" s="1"/>
  <c r="N58" i="13"/>
  <c r="O58" i="13" s="1"/>
  <c r="N48" i="13"/>
  <c r="O48" i="13" s="1"/>
  <c r="N51" i="13"/>
  <c r="O51" i="13" s="1"/>
  <c r="L47" i="13"/>
  <c r="N39" i="13"/>
  <c r="O39" i="13" s="1"/>
  <c r="N56" i="13"/>
  <c r="O56" i="13" s="1"/>
  <c r="H47" i="13"/>
  <c r="N45" i="13"/>
  <c r="O45" i="13" s="1"/>
  <c r="N52" i="13"/>
  <c r="O52" i="13" s="1"/>
  <c r="O59" i="12"/>
  <c r="N55" i="12"/>
  <c r="O55" i="12" s="1"/>
  <c r="N59" i="12"/>
  <c r="N48" i="12"/>
  <c r="O48" i="12" s="1"/>
  <c r="L47" i="12"/>
  <c r="N39" i="12"/>
  <c r="O39" i="12" s="1"/>
  <c r="N56" i="12"/>
  <c r="O56" i="12" s="1"/>
  <c r="H47" i="12"/>
  <c r="K52" i="12"/>
  <c r="L52" i="12" s="1"/>
  <c r="K51" i="12"/>
  <c r="L51" i="12" s="1"/>
  <c r="L49" i="12"/>
  <c r="N45" i="12"/>
  <c r="O45" i="12" s="1"/>
  <c r="N58" i="11"/>
  <c r="O58" i="11" s="1"/>
  <c r="N48" i="11"/>
  <c r="O48" i="11" s="1"/>
  <c r="H47" i="11"/>
  <c r="L47" i="11"/>
  <c r="N39" i="11"/>
  <c r="O39" i="11" s="1"/>
  <c r="L49" i="11"/>
  <c r="L52" i="11"/>
  <c r="K51" i="11"/>
  <c r="L51" i="11" s="1"/>
  <c r="N56" i="11"/>
  <c r="O56" i="11" s="1"/>
  <c r="N58" i="10"/>
  <c r="O58" i="10" s="1"/>
  <c r="N60" i="10"/>
  <c r="O60" i="10" s="1"/>
  <c r="N47" i="10"/>
  <c r="N46" i="10"/>
  <c r="O46" i="10" s="1"/>
  <c r="G53" i="10"/>
  <c r="H52" i="10"/>
  <c r="L52" i="10"/>
  <c r="K53" i="10"/>
  <c r="N39" i="10"/>
  <c r="O39" i="10" s="1"/>
  <c r="N53" i="21" l="1"/>
  <c r="O53" i="21" s="1"/>
  <c r="H53" i="10"/>
  <c r="G55" i="10"/>
  <c r="H55" i="10" s="1"/>
  <c r="N52" i="21"/>
  <c r="O52" i="21" s="1"/>
  <c r="N51" i="14"/>
  <c r="O51" i="14" s="1"/>
  <c r="L53" i="10"/>
  <c r="N53" i="10" s="1"/>
  <c r="O53" i="10" s="1"/>
  <c r="K55" i="10"/>
  <c r="L55" i="10" s="1"/>
  <c r="N53" i="24"/>
  <c r="O53" i="24" s="1"/>
  <c r="E58" i="28"/>
  <c r="E33" i="28"/>
  <c r="N51" i="26"/>
  <c r="O51" i="26" s="1"/>
  <c r="L67" i="26"/>
  <c r="L63" i="26"/>
  <c r="H63" i="26"/>
  <c r="H67" i="26"/>
  <c r="H68" i="24"/>
  <c r="N51" i="24"/>
  <c r="O51" i="24" s="1"/>
  <c r="L67" i="24"/>
  <c r="L63" i="24"/>
  <c r="H64" i="24"/>
  <c r="H65" i="24" s="1"/>
  <c r="H51" i="21"/>
  <c r="N48" i="21"/>
  <c r="O48" i="21" s="1"/>
  <c r="L51" i="21"/>
  <c r="H63" i="20"/>
  <c r="N50" i="20"/>
  <c r="O50" i="20" s="1"/>
  <c r="L66" i="20"/>
  <c r="L62" i="20"/>
  <c r="H66" i="20"/>
  <c r="H66" i="19"/>
  <c r="H62" i="19"/>
  <c r="N50" i="19"/>
  <c r="O50" i="19" s="1"/>
  <c r="L66" i="19"/>
  <c r="L62" i="19"/>
  <c r="H50" i="18"/>
  <c r="L50" i="18"/>
  <c r="N47" i="18"/>
  <c r="O47" i="18" s="1"/>
  <c r="N51" i="17"/>
  <c r="O51" i="17" s="1"/>
  <c r="N52" i="17"/>
  <c r="O52" i="17" s="1"/>
  <c r="N47" i="17"/>
  <c r="O47" i="17" s="1"/>
  <c r="L50" i="17"/>
  <c r="N49" i="17"/>
  <c r="O49" i="17" s="1"/>
  <c r="H65" i="16"/>
  <c r="H61" i="16"/>
  <c r="L50" i="16"/>
  <c r="N47" i="16"/>
  <c r="O47" i="16" s="1"/>
  <c r="N47" i="15"/>
  <c r="O47" i="15" s="1"/>
  <c r="L50" i="15"/>
  <c r="L61" i="15" s="1"/>
  <c r="N52" i="15"/>
  <c r="O52" i="15" s="1"/>
  <c r="H50" i="15"/>
  <c r="N49" i="15"/>
  <c r="O49" i="15" s="1"/>
  <c r="N51" i="15"/>
  <c r="O51" i="15" s="1"/>
  <c r="H50" i="14"/>
  <c r="H61" i="14" s="1"/>
  <c r="N52" i="14"/>
  <c r="O52" i="14" s="1"/>
  <c r="N47" i="14"/>
  <c r="O47" i="14" s="1"/>
  <c r="L50" i="14"/>
  <c r="N49" i="14"/>
  <c r="O49" i="14" s="1"/>
  <c r="H50" i="13"/>
  <c r="N47" i="13"/>
  <c r="O47" i="13" s="1"/>
  <c r="L50" i="13"/>
  <c r="N52" i="12"/>
  <c r="O52" i="12" s="1"/>
  <c r="H50" i="12"/>
  <c r="H61" i="12" s="1"/>
  <c r="N51" i="12"/>
  <c r="O51" i="12" s="1"/>
  <c r="L50" i="12"/>
  <c r="N47" i="12"/>
  <c r="O47" i="12" s="1"/>
  <c r="N49" i="12"/>
  <c r="O49" i="12" s="1"/>
  <c r="N49" i="11"/>
  <c r="O49" i="11" s="1"/>
  <c r="H50" i="11"/>
  <c r="N51" i="11"/>
  <c r="O51" i="11" s="1"/>
  <c r="N52" i="11"/>
  <c r="O52" i="11" s="1"/>
  <c r="L50" i="11"/>
  <c r="N47" i="11"/>
  <c r="O47" i="11" s="1"/>
  <c r="H51" i="10"/>
  <c r="N52" i="10"/>
  <c r="O52" i="10" s="1"/>
  <c r="L51" i="10"/>
  <c r="N48" i="10"/>
  <c r="O48" i="10" s="1"/>
  <c r="H63" i="10" l="1"/>
  <c r="H75" i="10" s="1"/>
  <c r="H76" i="10" s="1"/>
  <c r="H77" i="10" s="1"/>
  <c r="L65" i="11"/>
  <c r="H68" i="26"/>
  <c r="H64" i="26"/>
  <c r="H65" i="26" s="1"/>
  <c r="L64" i="26"/>
  <c r="N63" i="26"/>
  <c r="O63" i="26" s="1"/>
  <c r="L68" i="26"/>
  <c r="L69" i="26" s="1"/>
  <c r="N67" i="26"/>
  <c r="O67" i="26" s="1"/>
  <c r="N63" i="24"/>
  <c r="O63" i="24" s="1"/>
  <c r="L64" i="24"/>
  <c r="L65" i="24" s="1"/>
  <c r="H69" i="24"/>
  <c r="N67" i="24"/>
  <c r="O67" i="24" s="1"/>
  <c r="L68" i="24"/>
  <c r="N51" i="21"/>
  <c r="O51" i="21" s="1"/>
  <c r="L67" i="21"/>
  <c r="L63" i="21"/>
  <c r="H63" i="21"/>
  <c r="H67" i="21"/>
  <c r="H67" i="20"/>
  <c r="H68" i="20" s="1"/>
  <c r="L63" i="20"/>
  <c r="L64" i="20" s="1"/>
  <c r="N62" i="20"/>
  <c r="O62" i="20" s="1"/>
  <c r="L67" i="20"/>
  <c r="N66" i="20"/>
  <c r="O66" i="20" s="1"/>
  <c r="H64" i="20"/>
  <c r="N62" i="19"/>
  <c r="O62" i="19" s="1"/>
  <c r="L63" i="19"/>
  <c r="L64" i="19" s="1"/>
  <c r="H63" i="19"/>
  <c r="N66" i="19"/>
  <c r="O66" i="19" s="1"/>
  <c r="L67" i="19"/>
  <c r="H67" i="19"/>
  <c r="H68" i="19" s="1"/>
  <c r="H66" i="18"/>
  <c r="H62" i="18"/>
  <c r="N50" i="18"/>
  <c r="O50" i="18" s="1"/>
  <c r="L66" i="18"/>
  <c r="L62" i="18"/>
  <c r="H66" i="17"/>
  <c r="H74" i="17"/>
  <c r="N50" i="17"/>
  <c r="O50" i="17" s="1"/>
  <c r="L66" i="17"/>
  <c r="L62" i="17"/>
  <c r="L74" i="17" s="1"/>
  <c r="H62" i="16"/>
  <c r="N50" i="16"/>
  <c r="O50" i="16" s="1"/>
  <c r="L65" i="16"/>
  <c r="L61" i="16"/>
  <c r="H66" i="16"/>
  <c r="L62" i="15"/>
  <c r="L63" i="15" s="1"/>
  <c r="H65" i="15"/>
  <c r="H61" i="15"/>
  <c r="N61" i="15" s="1"/>
  <c r="N50" i="15"/>
  <c r="O50" i="15" s="1"/>
  <c r="L65" i="15"/>
  <c r="H62" i="14"/>
  <c r="H63" i="14" s="1"/>
  <c r="N50" i="14"/>
  <c r="O50" i="14" s="1"/>
  <c r="L61" i="14"/>
  <c r="L65" i="14"/>
  <c r="H65" i="14"/>
  <c r="H65" i="13"/>
  <c r="H61" i="13"/>
  <c r="N50" i="13"/>
  <c r="O50" i="13" s="1"/>
  <c r="L65" i="13"/>
  <c r="L61" i="13"/>
  <c r="N50" i="12"/>
  <c r="O50" i="12" s="1"/>
  <c r="L65" i="12"/>
  <c r="H65" i="12"/>
  <c r="L61" i="12"/>
  <c r="N50" i="11"/>
  <c r="O50" i="11" s="1"/>
  <c r="L61" i="11"/>
  <c r="H61" i="11"/>
  <c r="H65" i="11"/>
  <c r="H67" i="10"/>
  <c r="N51" i="10"/>
  <c r="O51" i="10" s="1"/>
  <c r="L67" i="10"/>
  <c r="L63" i="10"/>
  <c r="L75" i="10" s="1"/>
  <c r="H64" i="10" l="1"/>
  <c r="H65" i="10" s="1"/>
  <c r="L75" i="17"/>
  <c r="L76" i="17" s="1"/>
  <c r="N74" i="17"/>
  <c r="O74" i="17" s="1"/>
  <c r="H75" i="17"/>
  <c r="N75" i="10"/>
  <c r="O75" i="10" s="1"/>
  <c r="L76" i="10"/>
  <c r="L77" i="10" s="1"/>
  <c r="N64" i="26"/>
  <c r="O64" i="26" s="1"/>
  <c r="N68" i="26"/>
  <c r="O68" i="26" s="1"/>
  <c r="L65" i="26"/>
  <c r="H69" i="26"/>
  <c r="N68" i="24"/>
  <c r="O68" i="24" s="1"/>
  <c r="L69" i="24"/>
  <c r="N65" i="24"/>
  <c r="O65" i="24" s="1"/>
  <c r="N64" i="24"/>
  <c r="O64" i="24" s="1"/>
  <c r="N63" i="21"/>
  <c r="O63" i="21" s="1"/>
  <c r="L64" i="21"/>
  <c r="L65" i="21" s="1"/>
  <c r="H68" i="21"/>
  <c r="H69" i="21" s="1"/>
  <c r="N67" i="21"/>
  <c r="O67" i="21" s="1"/>
  <c r="L68" i="21"/>
  <c r="L69" i="21" s="1"/>
  <c r="H64" i="21"/>
  <c r="H65" i="21" s="1"/>
  <c r="N67" i="20"/>
  <c r="O67" i="20" s="1"/>
  <c r="N64" i="20"/>
  <c r="O64" i="20" s="1"/>
  <c r="L68" i="20"/>
  <c r="N63" i="20"/>
  <c r="O63" i="20" s="1"/>
  <c r="H64" i="19"/>
  <c r="N67" i="19"/>
  <c r="O67" i="19" s="1"/>
  <c r="L68" i="19"/>
  <c r="N63" i="19"/>
  <c r="O63" i="19" s="1"/>
  <c r="H63" i="18"/>
  <c r="N62" i="18"/>
  <c r="O62" i="18" s="1"/>
  <c r="L63" i="18"/>
  <c r="H67" i="18"/>
  <c r="H68" i="18" s="1"/>
  <c r="N66" i="18"/>
  <c r="O66" i="18" s="1"/>
  <c r="L67" i="18"/>
  <c r="L68" i="18" s="1"/>
  <c r="L63" i="17"/>
  <c r="L64" i="17" s="1"/>
  <c r="N62" i="17"/>
  <c r="O62" i="17" s="1"/>
  <c r="L67" i="17"/>
  <c r="N66" i="17"/>
  <c r="O66" i="17" s="1"/>
  <c r="H67" i="17"/>
  <c r="H63" i="17"/>
  <c r="H64" i="17" s="1"/>
  <c r="N61" i="16"/>
  <c r="O61" i="16" s="1"/>
  <c r="L62" i="16"/>
  <c r="N65" i="16"/>
  <c r="O65" i="16" s="1"/>
  <c r="L66" i="16"/>
  <c r="H67" i="16"/>
  <c r="H63" i="16"/>
  <c r="N65" i="15"/>
  <c r="O65" i="15" s="1"/>
  <c r="L66" i="15"/>
  <c r="L67" i="15" s="1"/>
  <c r="H66" i="15"/>
  <c r="H67" i="15" s="1"/>
  <c r="O61" i="15"/>
  <c r="H62" i="15"/>
  <c r="N62" i="15" s="1"/>
  <c r="N61" i="14"/>
  <c r="O61" i="14" s="1"/>
  <c r="L62" i="14"/>
  <c r="L63" i="14" s="1"/>
  <c r="H66" i="14"/>
  <c r="N65" i="14"/>
  <c r="O65" i="14" s="1"/>
  <c r="L66" i="14"/>
  <c r="L67" i="14" s="1"/>
  <c r="N65" i="13"/>
  <c r="O65" i="13" s="1"/>
  <c r="L66" i="13"/>
  <c r="H62" i="13"/>
  <c r="N61" i="13"/>
  <c r="O61" i="13" s="1"/>
  <c r="L62" i="13"/>
  <c r="H66" i="13"/>
  <c r="N65" i="12"/>
  <c r="O65" i="12" s="1"/>
  <c r="L66" i="12"/>
  <c r="H62" i="12"/>
  <c r="H63" i="12" s="1"/>
  <c r="H66" i="12"/>
  <c r="N61" i="12"/>
  <c r="O61" i="12" s="1"/>
  <c r="L62" i="12"/>
  <c r="L63" i="12" s="1"/>
  <c r="H66" i="11"/>
  <c r="H67" i="11" s="1"/>
  <c r="H62" i="11"/>
  <c r="H63" i="11" s="1"/>
  <c r="N61" i="11"/>
  <c r="O61" i="11" s="1"/>
  <c r="L62" i="11"/>
  <c r="N65" i="11"/>
  <c r="O65" i="11" s="1"/>
  <c r="L66" i="11"/>
  <c r="N63" i="10"/>
  <c r="O63" i="10" s="1"/>
  <c r="L64" i="10"/>
  <c r="L65" i="10" s="1"/>
  <c r="H68" i="10"/>
  <c r="H69" i="10" s="1"/>
  <c r="N67" i="10"/>
  <c r="O67" i="10" s="1"/>
  <c r="L68" i="10"/>
  <c r="L69" i="10" s="1"/>
  <c r="N64" i="19" l="1"/>
  <c r="O64" i="19" s="1"/>
  <c r="L63" i="16"/>
  <c r="N63" i="16" s="1"/>
  <c r="O63" i="16" s="1"/>
  <c r="L63" i="11"/>
  <c r="N63" i="11" s="1"/>
  <c r="O63" i="11" s="1"/>
  <c r="N75" i="17"/>
  <c r="O75" i="17" s="1"/>
  <c r="H76" i="17"/>
  <c r="N77" i="10"/>
  <c r="O77" i="10" s="1"/>
  <c r="E59" i="28" s="1"/>
  <c r="N76" i="10"/>
  <c r="O76" i="10" s="1"/>
  <c r="N69" i="26"/>
  <c r="O69" i="26" s="1"/>
  <c r="N65" i="26"/>
  <c r="O65" i="26" s="1"/>
  <c r="N69" i="24"/>
  <c r="O69" i="24" s="1"/>
  <c r="N64" i="21"/>
  <c r="O64" i="21" s="1"/>
  <c r="N69" i="21"/>
  <c r="O69" i="21" s="1"/>
  <c r="N65" i="21"/>
  <c r="O65" i="21" s="1"/>
  <c r="N68" i="21"/>
  <c r="O68" i="21" s="1"/>
  <c r="N68" i="20"/>
  <c r="O68" i="20" s="1"/>
  <c r="N68" i="19"/>
  <c r="O68" i="19" s="1"/>
  <c r="N68" i="18"/>
  <c r="O68" i="18" s="1"/>
  <c r="H64" i="18"/>
  <c r="N63" i="18"/>
  <c r="O63" i="18" s="1"/>
  <c r="N67" i="18"/>
  <c r="O67" i="18" s="1"/>
  <c r="L64" i="18"/>
  <c r="N64" i="17"/>
  <c r="O64" i="17" s="1"/>
  <c r="E35" i="28" s="1"/>
  <c r="H68" i="17"/>
  <c r="N67" i="17"/>
  <c r="O67" i="17" s="1"/>
  <c r="L68" i="17"/>
  <c r="N63" i="17"/>
  <c r="O63" i="17" s="1"/>
  <c r="N66" i="16"/>
  <c r="O66" i="16" s="1"/>
  <c r="L67" i="16"/>
  <c r="N62" i="16"/>
  <c r="O62" i="16" s="1"/>
  <c r="N67" i="15"/>
  <c r="O67" i="15" s="1"/>
  <c r="N66" i="15"/>
  <c r="O66" i="15" s="1"/>
  <c r="O62" i="15"/>
  <c r="H63" i="15"/>
  <c r="H67" i="14"/>
  <c r="N62" i="14"/>
  <c r="O62" i="14" s="1"/>
  <c r="N66" i="14"/>
  <c r="O66" i="14" s="1"/>
  <c r="N63" i="14"/>
  <c r="O63" i="14" s="1"/>
  <c r="N62" i="13"/>
  <c r="O62" i="13" s="1"/>
  <c r="N66" i="13"/>
  <c r="O66" i="13" s="1"/>
  <c r="L63" i="13"/>
  <c r="L67" i="13"/>
  <c r="H67" i="13"/>
  <c r="H63" i="13"/>
  <c r="N63" i="12"/>
  <c r="O63" i="12" s="1"/>
  <c r="N66" i="12"/>
  <c r="O66" i="12" s="1"/>
  <c r="H67" i="12"/>
  <c r="L67" i="12"/>
  <c r="N62" i="12"/>
  <c r="O62" i="12" s="1"/>
  <c r="N66" i="11"/>
  <c r="O66" i="11" s="1"/>
  <c r="L67" i="11"/>
  <c r="N62" i="11"/>
  <c r="O62" i="11" s="1"/>
  <c r="N64" i="10"/>
  <c r="O64" i="10" s="1"/>
  <c r="N69" i="10"/>
  <c r="O69" i="10" s="1"/>
  <c r="N65" i="10"/>
  <c r="O65" i="10" s="1"/>
  <c r="E60" i="28" s="1"/>
  <c r="N68" i="10"/>
  <c r="O68" i="10" s="1"/>
  <c r="N76" i="17" l="1"/>
  <c r="O76" i="17" s="1"/>
  <c r="E34" i="28" s="1"/>
  <c r="N64" i="18"/>
  <c r="O64" i="18" s="1"/>
  <c r="N68" i="17"/>
  <c r="O68" i="17" s="1"/>
  <c r="N67" i="16"/>
  <c r="O67" i="16" s="1"/>
  <c r="N63" i="15"/>
  <c r="O63" i="15" s="1"/>
  <c r="N67" i="14"/>
  <c r="O67" i="14" s="1"/>
  <c r="N67" i="13"/>
  <c r="O67" i="13" s="1"/>
  <c r="N63" i="13"/>
  <c r="O63" i="13" s="1"/>
  <c r="N67" i="12"/>
  <c r="O67" i="12" s="1"/>
  <c r="N67" i="11"/>
  <c r="O67" i="11" s="1"/>
  <c r="G61" i="9" l="1"/>
  <c r="G60" i="9"/>
  <c r="H60" i="9" s="1"/>
  <c r="K59" i="9"/>
  <c r="L59" i="9" s="1"/>
  <c r="H59" i="9"/>
  <c r="H58" i="9"/>
  <c r="K57" i="9"/>
  <c r="L57" i="9" s="1"/>
  <c r="H57" i="9"/>
  <c r="K56" i="9"/>
  <c r="J56" i="9"/>
  <c r="G56" i="9"/>
  <c r="H56" i="9" s="1"/>
  <c r="L54" i="9"/>
  <c r="H54" i="9"/>
  <c r="K49" i="9"/>
  <c r="K50" i="9" s="1"/>
  <c r="G49" i="9"/>
  <c r="G50" i="9" s="1"/>
  <c r="H50" i="9" s="1"/>
  <c r="J47" i="9"/>
  <c r="H47" i="9"/>
  <c r="O47" i="9" s="1"/>
  <c r="K46" i="9"/>
  <c r="K52" i="9" s="1"/>
  <c r="K53" i="9" s="1"/>
  <c r="G46" i="9"/>
  <c r="G52" i="9" s="1"/>
  <c r="K45" i="9"/>
  <c r="L45" i="9" s="1"/>
  <c r="G45" i="9"/>
  <c r="H45" i="9" s="1"/>
  <c r="L43" i="9"/>
  <c r="H43" i="9"/>
  <c r="K42" i="9"/>
  <c r="L42" i="9" s="1"/>
  <c r="G42" i="9"/>
  <c r="H42" i="9" s="1"/>
  <c r="L41" i="9"/>
  <c r="H41" i="9"/>
  <c r="K40" i="9"/>
  <c r="L40" i="9" s="1"/>
  <c r="G40" i="9"/>
  <c r="H40" i="9" s="1"/>
  <c r="K38" i="9"/>
  <c r="L38" i="9" s="1"/>
  <c r="G38" i="9"/>
  <c r="H38" i="9" s="1"/>
  <c r="O38" i="9" s="1"/>
  <c r="K37" i="9"/>
  <c r="L37" i="9" s="1"/>
  <c r="G37" i="9"/>
  <c r="H37" i="9" s="1"/>
  <c r="O37" i="9" s="1"/>
  <c r="K36" i="9"/>
  <c r="L36" i="9" s="1"/>
  <c r="G36" i="9"/>
  <c r="H36" i="9" s="1"/>
  <c r="O36" i="9" s="1"/>
  <c r="K35" i="9"/>
  <c r="L35" i="9" s="1"/>
  <c r="G35" i="9"/>
  <c r="H35" i="9" s="1"/>
  <c r="O35" i="9" s="1"/>
  <c r="K34" i="9"/>
  <c r="L34" i="9" s="1"/>
  <c r="G34" i="9"/>
  <c r="H34" i="9" s="1"/>
  <c r="O34" i="9" s="1"/>
  <c r="K33" i="9"/>
  <c r="L33" i="9" s="1"/>
  <c r="G33" i="9"/>
  <c r="H33" i="9" s="1"/>
  <c r="O33" i="9" s="1"/>
  <c r="K32" i="9"/>
  <c r="L32" i="9" s="1"/>
  <c r="G32" i="9"/>
  <c r="H32" i="9" s="1"/>
  <c r="O32" i="9" s="1"/>
  <c r="K31" i="9"/>
  <c r="L31" i="9" s="1"/>
  <c r="G31" i="9"/>
  <c r="H31" i="9" s="1"/>
  <c r="O31" i="9" s="1"/>
  <c r="K30" i="9"/>
  <c r="L30" i="9" s="1"/>
  <c r="G30" i="9"/>
  <c r="H30" i="9" s="1"/>
  <c r="O30" i="9" s="1"/>
  <c r="K29" i="9"/>
  <c r="L29" i="9" s="1"/>
  <c r="G29" i="9"/>
  <c r="H29" i="9" s="1"/>
  <c r="L28" i="9"/>
  <c r="H28" i="9"/>
  <c r="O28" i="9" s="1"/>
  <c r="L27" i="9"/>
  <c r="H27" i="9"/>
  <c r="O27" i="9" s="1"/>
  <c r="L26" i="9"/>
  <c r="H26" i="9"/>
  <c r="O26" i="9" s="1"/>
  <c r="L25" i="9"/>
  <c r="H25" i="9"/>
  <c r="O25" i="9" s="1"/>
  <c r="L24" i="9"/>
  <c r="H24" i="9"/>
  <c r="L23" i="9"/>
  <c r="H23" i="9"/>
  <c r="N34" i="9" l="1"/>
  <c r="H61" i="9"/>
  <c r="O61" i="9" s="1"/>
  <c r="N42" i="9"/>
  <c r="K61" i="9"/>
  <c r="L61" i="9" s="1"/>
  <c r="L47" i="9"/>
  <c r="H49" i="9"/>
  <c r="L53" i="9"/>
  <c r="K55" i="9"/>
  <c r="L55" i="9" s="1"/>
  <c r="L46" i="9"/>
  <c r="H46" i="9"/>
  <c r="N57" i="9"/>
  <c r="O57" i="9" s="1"/>
  <c r="L50" i="9"/>
  <c r="N50" i="9" s="1"/>
  <c r="O50" i="9" s="1"/>
  <c r="D51" i="28"/>
  <c r="L52" i="9"/>
  <c r="N31" i="9"/>
  <c r="E51" i="28"/>
  <c r="N29" i="9"/>
  <c r="O29" i="9" s="1"/>
  <c r="N45" i="9"/>
  <c r="O45" i="9" s="1"/>
  <c r="N36" i="9"/>
  <c r="N27" i="9"/>
  <c r="N37" i="9"/>
  <c r="N32" i="9"/>
  <c r="N59" i="9"/>
  <c r="O59" i="9" s="1"/>
  <c r="N23" i="9"/>
  <c r="L39" i="9"/>
  <c r="N38" i="9"/>
  <c r="H39" i="9"/>
  <c r="O24" i="9"/>
  <c r="N30" i="9"/>
  <c r="N33" i="9"/>
  <c r="N40" i="9"/>
  <c r="O40" i="9" s="1"/>
  <c r="N41" i="9"/>
  <c r="O41" i="9" s="1"/>
  <c r="O42" i="9"/>
  <c r="N28" i="9"/>
  <c r="N35" i="9"/>
  <c r="L49" i="9"/>
  <c r="N43" i="9"/>
  <c r="O43" i="9" s="1"/>
  <c r="N24" i="9"/>
  <c r="N25" i="9"/>
  <c r="N26" i="9"/>
  <c r="G53" i="9"/>
  <c r="H52" i="9"/>
  <c r="N54" i="9"/>
  <c r="O54" i="9" s="1"/>
  <c r="L56" i="9"/>
  <c r="K58" i="9"/>
  <c r="L58" i="9" s="1"/>
  <c r="K60" i="9"/>
  <c r="L60" i="9" s="1"/>
  <c r="H48" i="9" l="1"/>
  <c r="L48" i="9"/>
  <c r="N61" i="9"/>
  <c r="N47" i="9"/>
  <c r="H53" i="9"/>
  <c r="N53" i="9" s="1"/>
  <c r="O53" i="9" s="1"/>
  <c r="G55" i="9"/>
  <c r="H55" i="9" s="1"/>
  <c r="N46" i="9"/>
  <c r="O46" i="9" s="1"/>
  <c r="O23" i="9"/>
  <c r="E52" i="28"/>
  <c r="N58" i="9"/>
  <c r="O58" i="9" s="1"/>
  <c r="N56" i="9"/>
  <c r="O56" i="9" s="1"/>
  <c r="N49" i="9"/>
  <c r="O49" i="9" s="1"/>
  <c r="N52" i="9"/>
  <c r="O52" i="9" s="1"/>
  <c r="N60" i="9"/>
  <c r="O60" i="9" s="1"/>
  <c r="N39" i="9"/>
  <c r="O39" i="9" s="1"/>
  <c r="E53" i="28" l="1"/>
  <c r="L51" i="9"/>
  <c r="N48" i="9"/>
  <c r="O48" i="9" s="1"/>
  <c r="H51" i="9"/>
  <c r="H67" i="9" l="1"/>
  <c r="H63" i="9"/>
  <c r="H75" i="9" s="1"/>
  <c r="N51" i="9"/>
  <c r="O51" i="9" s="1"/>
  <c r="L67" i="9"/>
  <c r="L63" i="9"/>
  <c r="L75" i="9" s="1"/>
  <c r="H76" i="9" l="1"/>
  <c r="H77" i="9" s="1"/>
  <c r="N75" i="9"/>
  <c r="O75" i="9" s="1"/>
  <c r="L76" i="9"/>
  <c r="L77" i="9" s="1"/>
  <c r="N63" i="9"/>
  <c r="O63" i="9" s="1"/>
  <c r="L64" i="9"/>
  <c r="L65" i="9" s="1"/>
  <c r="H64" i="9"/>
  <c r="H65" i="9" s="1"/>
  <c r="N67" i="9"/>
  <c r="O67" i="9" s="1"/>
  <c r="L68" i="9"/>
  <c r="H68" i="9"/>
  <c r="H69" i="9" s="1"/>
  <c r="N77" i="9" l="1"/>
  <c r="O77" i="9" s="1"/>
  <c r="E54" i="28" s="1"/>
  <c r="N76" i="9"/>
  <c r="O76" i="9" s="1"/>
  <c r="N68" i="9"/>
  <c r="O68" i="9" s="1"/>
  <c r="L69" i="9"/>
  <c r="N64" i="9"/>
  <c r="O64" i="9" s="1"/>
  <c r="N65" i="9"/>
  <c r="O65" i="9" s="1"/>
  <c r="E55" i="28" s="1"/>
  <c r="N69" i="9" l="1"/>
  <c r="O69" i="9" s="1"/>
  <c r="G61" i="8" l="1"/>
  <c r="H61" i="8" s="1"/>
  <c r="O61" i="8" s="1"/>
  <c r="G60" i="8"/>
  <c r="H60" i="8" s="1"/>
  <c r="K59" i="8"/>
  <c r="L59" i="8" s="1"/>
  <c r="H59" i="8"/>
  <c r="K57" i="8"/>
  <c r="L57" i="8" s="1"/>
  <c r="H57" i="8"/>
  <c r="K56" i="8"/>
  <c r="J56" i="8"/>
  <c r="G56" i="8"/>
  <c r="H56" i="8" s="1"/>
  <c r="L54" i="8"/>
  <c r="H54" i="8"/>
  <c r="K49" i="8"/>
  <c r="K53" i="8" s="1"/>
  <c r="G49" i="8"/>
  <c r="H49" i="8" s="1"/>
  <c r="J47" i="8"/>
  <c r="L47" i="8" s="1"/>
  <c r="H47" i="8"/>
  <c r="O47" i="8" s="1"/>
  <c r="K46" i="8"/>
  <c r="L46" i="8" s="1"/>
  <c r="G46" i="8"/>
  <c r="K43" i="8"/>
  <c r="L43" i="8" s="1"/>
  <c r="G43" i="8"/>
  <c r="H43" i="8" s="1"/>
  <c r="K42" i="8"/>
  <c r="L42" i="8" s="1"/>
  <c r="G42" i="8"/>
  <c r="H42" i="8" s="1"/>
  <c r="O42" i="8" s="1"/>
  <c r="K41" i="8"/>
  <c r="L41" i="8" s="1"/>
  <c r="G41" i="8"/>
  <c r="H41" i="8" s="1"/>
  <c r="K40" i="8"/>
  <c r="L40" i="8" s="1"/>
  <c r="G40" i="8"/>
  <c r="H40" i="8" s="1"/>
  <c r="K38" i="8"/>
  <c r="L38" i="8" s="1"/>
  <c r="G38" i="8"/>
  <c r="H38" i="8" s="1"/>
  <c r="O38" i="8" s="1"/>
  <c r="K37" i="8"/>
  <c r="L37" i="8" s="1"/>
  <c r="G37" i="8"/>
  <c r="H37" i="8" s="1"/>
  <c r="K36" i="8"/>
  <c r="L36" i="8" s="1"/>
  <c r="G36" i="8"/>
  <c r="H36" i="8" s="1"/>
  <c r="O36" i="8" s="1"/>
  <c r="K35" i="8"/>
  <c r="L35" i="8" s="1"/>
  <c r="G35" i="8"/>
  <c r="H35" i="8" s="1"/>
  <c r="O35" i="8" s="1"/>
  <c r="K34" i="8"/>
  <c r="L34" i="8" s="1"/>
  <c r="G34" i="8"/>
  <c r="H34" i="8" s="1"/>
  <c r="O34" i="8" s="1"/>
  <c r="K33" i="8"/>
  <c r="L33" i="8" s="1"/>
  <c r="G33" i="8"/>
  <c r="H33" i="8" s="1"/>
  <c r="O33" i="8" s="1"/>
  <c r="K32" i="8"/>
  <c r="L32" i="8" s="1"/>
  <c r="G32" i="8"/>
  <c r="H32" i="8" s="1"/>
  <c r="O32" i="8" s="1"/>
  <c r="K31" i="8"/>
  <c r="L31" i="8" s="1"/>
  <c r="G31" i="8"/>
  <c r="H31" i="8" s="1"/>
  <c r="K30" i="8"/>
  <c r="L30" i="8" s="1"/>
  <c r="G30" i="8"/>
  <c r="H30" i="8" s="1"/>
  <c r="O30" i="8" s="1"/>
  <c r="K29" i="8"/>
  <c r="L29" i="8" s="1"/>
  <c r="G29" i="8"/>
  <c r="H29" i="8" s="1"/>
  <c r="L28" i="8"/>
  <c r="H28" i="8"/>
  <c r="O28" i="8" s="1"/>
  <c r="L27" i="8"/>
  <c r="H27" i="8"/>
  <c r="O27" i="8" s="1"/>
  <c r="L26" i="8"/>
  <c r="H26" i="8"/>
  <c r="O26" i="8" s="1"/>
  <c r="L25" i="8"/>
  <c r="H25" i="8"/>
  <c r="O25" i="8" s="1"/>
  <c r="L24" i="8"/>
  <c r="H24" i="8"/>
  <c r="O24" i="8" s="1"/>
  <c r="L23" i="8"/>
  <c r="H23" i="8"/>
  <c r="N26" i="8" l="1"/>
  <c r="N25" i="8"/>
  <c r="O37" i="8"/>
  <c r="N37" i="8"/>
  <c r="N27" i="8"/>
  <c r="K61" i="8"/>
  <c r="L61" i="8" s="1"/>
  <c r="N61" i="8" s="1"/>
  <c r="L53" i="8"/>
  <c r="K55" i="8"/>
  <c r="L55" i="8" s="1"/>
  <c r="N43" i="8"/>
  <c r="O43" i="8" s="1"/>
  <c r="G50" i="8"/>
  <c r="H50" i="8" s="1"/>
  <c r="G53" i="8"/>
  <c r="L56" i="8"/>
  <c r="N56" i="8" s="1"/>
  <c r="O56" i="8" s="1"/>
  <c r="N29" i="8"/>
  <c r="O29" i="8" s="1"/>
  <c r="D61" i="28"/>
  <c r="E61" i="28"/>
  <c r="K50" i="8"/>
  <c r="L50" i="8" s="1"/>
  <c r="K52" i="8"/>
  <c r="L52" i="8" s="1"/>
  <c r="N36" i="8"/>
  <c r="L39" i="8"/>
  <c r="N32" i="8"/>
  <c r="N41" i="8"/>
  <c r="O41" i="8" s="1"/>
  <c r="N23" i="8"/>
  <c r="N30" i="8"/>
  <c r="N31" i="8"/>
  <c r="O31" i="8" s="1"/>
  <c r="N38" i="8"/>
  <c r="N40" i="8"/>
  <c r="O40" i="8" s="1"/>
  <c r="N57" i="8"/>
  <c r="O57" i="8" s="1"/>
  <c r="N24" i="8"/>
  <c r="N28" i="8"/>
  <c r="N33" i="8"/>
  <c r="H39" i="8"/>
  <c r="N42" i="8"/>
  <c r="H46" i="8"/>
  <c r="G45" i="8"/>
  <c r="L49" i="8"/>
  <c r="N34" i="8"/>
  <c r="N35" i="8"/>
  <c r="N47" i="8"/>
  <c r="G52" i="8"/>
  <c r="H52" i="8" s="1"/>
  <c r="K58" i="8"/>
  <c r="L58" i="8" s="1"/>
  <c r="H58" i="8"/>
  <c r="N59" i="8"/>
  <c r="O59" i="8" s="1"/>
  <c r="N54" i="8"/>
  <c r="O54" i="8" s="1"/>
  <c r="K60" i="8"/>
  <c r="L60" i="8" s="1"/>
  <c r="H53" i="8" l="1"/>
  <c r="N53" i="8" s="1"/>
  <c r="O53" i="8" s="1"/>
  <c r="G55" i="8"/>
  <c r="H55" i="8" s="1"/>
  <c r="N52" i="8"/>
  <c r="O52" i="8" s="1"/>
  <c r="E62" i="28"/>
  <c r="N50" i="8"/>
  <c r="O50" i="8" s="1"/>
  <c r="O23" i="8"/>
  <c r="H45" i="8"/>
  <c r="H48" i="8" s="1"/>
  <c r="K45" i="8"/>
  <c r="L45" i="8" s="1"/>
  <c r="L48" i="8" s="1"/>
  <c r="N39" i="8"/>
  <c r="O39" i="8" s="1"/>
  <c r="N60" i="8"/>
  <c r="O60" i="8" s="1"/>
  <c r="N58" i="8"/>
  <c r="O58" i="8" s="1"/>
  <c r="N49" i="8"/>
  <c r="O49" i="8" s="1"/>
  <c r="N46" i="8"/>
  <c r="O46" i="8" s="1"/>
  <c r="E63" i="28" l="1"/>
  <c r="L51" i="8"/>
  <c r="N48" i="8"/>
  <c r="O48" i="8" s="1"/>
  <c r="H51" i="8"/>
  <c r="N45" i="8"/>
  <c r="O45" i="8" s="1"/>
  <c r="H67" i="8" l="1"/>
  <c r="H63" i="8"/>
  <c r="H75" i="8" s="1"/>
  <c r="N51" i="8"/>
  <c r="O51" i="8" s="1"/>
  <c r="L63" i="8"/>
  <c r="L75" i="8" s="1"/>
  <c r="L67" i="8"/>
  <c r="H76" i="8" l="1"/>
  <c r="H77" i="8" s="1"/>
  <c r="L76" i="8"/>
  <c r="N75" i="8"/>
  <c r="O75" i="8" s="1"/>
  <c r="H64" i="8"/>
  <c r="H65" i="8" s="1"/>
  <c r="N63" i="8"/>
  <c r="O63" i="8" s="1"/>
  <c r="L64" i="8"/>
  <c r="L65" i="8" s="1"/>
  <c r="H68" i="8"/>
  <c r="N67" i="8"/>
  <c r="O67" i="8" s="1"/>
  <c r="L68" i="8"/>
  <c r="L69" i="8" s="1"/>
  <c r="L77" i="8" l="1"/>
  <c r="N76" i="8"/>
  <c r="O76" i="8" s="1"/>
  <c r="N64" i="8"/>
  <c r="O64" i="8" s="1"/>
  <c r="N65" i="8"/>
  <c r="O65" i="8" s="1"/>
  <c r="E65" i="28" s="1"/>
  <c r="N68" i="8"/>
  <c r="O68" i="8" s="1"/>
  <c r="H69" i="8"/>
  <c r="N77" i="8" l="1"/>
  <c r="O77" i="8" s="1"/>
  <c r="E64" i="28" s="1"/>
  <c r="N69" i="8"/>
  <c r="O69" i="8" s="1"/>
  <c r="G61" i="7" l="1"/>
  <c r="K60" i="7"/>
  <c r="L60" i="7" s="1"/>
  <c r="H60" i="7"/>
  <c r="H58" i="7"/>
  <c r="K56" i="7"/>
  <c r="J56" i="7"/>
  <c r="G56" i="7"/>
  <c r="H56" i="7" s="1"/>
  <c r="L54" i="7"/>
  <c r="H54" i="7"/>
  <c r="K49" i="7"/>
  <c r="K50" i="7" s="1"/>
  <c r="G49" i="7"/>
  <c r="H49" i="7" s="1"/>
  <c r="J47" i="7"/>
  <c r="L47" i="7" s="1"/>
  <c r="H47" i="7"/>
  <c r="O47" i="7" s="1"/>
  <c r="K46" i="7"/>
  <c r="K52" i="7" s="1"/>
  <c r="G46" i="7"/>
  <c r="G52" i="7" s="1"/>
  <c r="G53" i="7" s="1"/>
  <c r="K45" i="7"/>
  <c r="L45" i="7" s="1"/>
  <c r="G45" i="7"/>
  <c r="H45" i="7" s="1"/>
  <c r="L43" i="7"/>
  <c r="H43" i="7"/>
  <c r="K42" i="7"/>
  <c r="L42" i="7" s="1"/>
  <c r="G42" i="7"/>
  <c r="H42" i="7" s="1"/>
  <c r="K40" i="7"/>
  <c r="L40" i="7" s="1"/>
  <c r="G40" i="7"/>
  <c r="H40" i="7" s="1"/>
  <c r="K38" i="7"/>
  <c r="L38" i="7" s="1"/>
  <c r="G38" i="7"/>
  <c r="H38" i="7" s="1"/>
  <c r="O38" i="7" s="1"/>
  <c r="K37" i="7"/>
  <c r="L37" i="7" s="1"/>
  <c r="G37" i="7"/>
  <c r="H37" i="7" s="1"/>
  <c r="O37" i="7" s="1"/>
  <c r="K36" i="7"/>
  <c r="L36" i="7" s="1"/>
  <c r="G36" i="7"/>
  <c r="H36" i="7" s="1"/>
  <c r="O36" i="7" s="1"/>
  <c r="K35" i="7"/>
  <c r="L35" i="7" s="1"/>
  <c r="G35" i="7"/>
  <c r="H35" i="7" s="1"/>
  <c r="O35" i="7" s="1"/>
  <c r="K34" i="7"/>
  <c r="L34" i="7" s="1"/>
  <c r="G34" i="7"/>
  <c r="H34" i="7" s="1"/>
  <c r="O34" i="7" s="1"/>
  <c r="K33" i="7"/>
  <c r="L33" i="7" s="1"/>
  <c r="G33" i="7"/>
  <c r="H33" i="7" s="1"/>
  <c r="O33" i="7" s="1"/>
  <c r="K32" i="7"/>
  <c r="L32" i="7" s="1"/>
  <c r="G32" i="7"/>
  <c r="H32" i="7" s="1"/>
  <c r="O32" i="7" s="1"/>
  <c r="K31" i="7"/>
  <c r="L31" i="7" s="1"/>
  <c r="G31" i="7"/>
  <c r="H31" i="7" s="1"/>
  <c r="K30" i="7"/>
  <c r="L30" i="7" s="1"/>
  <c r="G30" i="7"/>
  <c r="H30" i="7" s="1"/>
  <c r="O30" i="7" s="1"/>
  <c r="K29" i="7"/>
  <c r="L29" i="7" s="1"/>
  <c r="G29" i="7"/>
  <c r="H29" i="7" s="1"/>
  <c r="L28" i="7"/>
  <c r="H28" i="7"/>
  <c r="O28" i="7" s="1"/>
  <c r="L27" i="7"/>
  <c r="H27" i="7"/>
  <c r="O27" i="7" s="1"/>
  <c r="L26" i="7"/>
  <c r="H26" i="7"/>
  <c r="O26" i="7" s="1"/>
  <c r="L25" i="7"/>
  <c r="H25" i="7"/>
  <c r="O25" i="7" s="1"/>
  <c r="L24" i="7"/>
  <c r="H24" i="7"/>
  <c r="O24" i="7" s="1"/>
  <c r="L23" i="7"/>
  <c r="H23" i="7"/>
  <c r="N31" i="7" l="1"/>
  <c r="O31" i="7" s="1"/>
  <c r="N60" i="7"/>
  <c r="O60" i="7" s="1"/>
  <c r="N54" i="7"/>
  <c r="O54" i="7" s="1"/>
  <c r="N42" i="7"/>
  <c r="O42" i="7" s="1"/>
  <c r="N26" i="7"/>
  <c r="N29" i="7"/>
  <c r="O29" i="7" s="1"/>
  <c r="N35" i="7"/>
  <c r="N34" i="7"/>
  <c r="N23" i="7"/>
  <c r="O23" i="7" s="1"/>
  <c r="N30" i="7"/>
  <c r="N32" i="7"/>
  <c r="N33" i="7"/>
  <c r="N38" i="7"/>
  <c r="N40" i="7"/>
  <c r="O40" i="7" s="1"/>
  <c r="N43" i="7"/>
  <c r="O43" i="7" s="1"/>
  <c r="N37" i="7"/>
  <c r="N28" i="7"/>
  <c r="N47" i="7"/>
  <c r="N27" i="7"/>
  <c r="N25" i="7"/>
  <c r="N36" i="7"/>
  <c r="N24" i="7"/>
  <c r="N45" i="7"/>
  <c r="O45" i="7" s="1"/>
  <c r="H53" i="7"/>
  <c r="G55" i="7"/>
  <c r="H55" i="7" s="1"/>
  <c r="G50" i="7"/>
  <c r="H50" i="7" s="1"/>
  <c r="H46" i="7"/>
  <c r="D46" i="28"/>
  <c r="L49" i="7"/>
  <c r="N49" i="7" s="1"/>
  <c r="O49" i="7" s="1"/>
  <c r="L50" i="7"/>
  <c r="E46" i="28"/>
  <c r="H57" i="7"/>
  <c r="K57" i="7"/>
  <c r="L57" i="7" s="1"/>
  <c r="K41" i="7"/>
  <c r="L41" i="7" s="1"/>
  <c r="H41" i="7"/>
  <c r="L39" i="7"/>
  <c r="H39" i="7"/>
  <c r="H52" i="7"/>
  <c r="H59" i="7"/>
  <c r="K59" i="7"/>
  <c r="L59" i="7" s="1"/>
  <c r="L46" i="7"/>
  <c r="K53" i="7"/>
  <c r="L52" i="7"/>
  <c r="K58" i="7"/>
  <c r="L58" i="7" s="1"/>
  <c r="K61" i="7"/>
  <c r="L61" i="7" s="1"/>
  <c r="H61" i="7"/>
  <c r="L56" i="7"/>
  <c r="N56" i="7" s="1"/>
  <c r="O56" i="7" s="1"/>
  <c r="L48" i="7" l="1"/>
  <c r="N59" i="7"/>
  <c r="O59" i="7" s="1"/>
  <c r="N57" i="7"/>
  <c r="O57" i="7" s="1"/>
  <c r="N61" i="7"/>
  <c r="O61" i="7" s="1"/>
  <c r="N52" i="7"/>
  <c r="O52" i="7" s="1"/>
  <c r="N46" i="7"/>
  <c r="O46" i="7" s="1"/>
  <c r="N50" i="7"/>
  <c r="O50" i="7" s="1"/>
  <c r="N39" i="7"/>
  <c r="O39" i="7" s="1"/>
  <c r="N58" i="7"/>
  <c r="O58" i="7" s="1"/>
  <c r="N41" i="7"/>
  <c r="O41" i="7" s="1"/>
  <c r="L53" i="7"/>
  <c r="K55" i="7"/>
  <c r="L55" i="7" s="1"/>
  <c r="E47" i="28"/>
  <c r="H48" i="7"/>
  <c r="N48" i="7" l="1"/>
  <c r="O48" i="7" s="1"/>
  <c r="N53" i="7"/>
  <c r="O53" i="7" s="1"/>
  <c r="E48" i="28"/>
  <c r="H51" i="7"/>
  <c r="L51" i="7"/>
  <c r="N51" i="7" l="1"/>
  <c r="O51" i="7" s="1"/>
  <c r="L67" i="7"/>
  <c r="L63" i="7"/>
  <c r="H67" i="7"/>
  <c r="H63" i="7"/>
  <c r="H75" i="7" l="1"/>
  <c r="H76" i="7" s="1"/>
  <c r="L75" i="7"/>
  <c r="N63" i="7"/>
  <c r="O63" i="7" s="1"/>
  <c r="N67" i="7"/>
  <c r="O67" i="7" s="1"/>
  <c r="H64" i="7"/>
  <c r="L68" i="7"/>
  <c r="H68" i="7"/>
  <c r="L64" i="7"/>
  <c r="N75" i="7" l="1"/>
  <c r="O75" i="7" s="1"/>
  <c r="H77" i="7"/>
  <c r="H65" i="7"/>
  <c r="H69" i="7"/>
  <c r="L69" i="7"/>
  <c r="N68" i="7"/>
  <c r="O68" i="7" s="1"/>
  <c r="L65" i="7"/>
  <c r="N64" i="7"/>
  <c r="O64" i="7" s="1"/>
  <c r="L76" i="7"/>
  <c r="N76" i="7" s="1"/>
  <c r="O76" i="7" s="1"/>
  <c r="L77" i="7" l="1"/>
  <c r="N77" i="7" s="1"/>
  <c r="O77" i="7" s="1"/>
  <c r="E49" i="28" s="1"/>
  <c r="N69" i="7"/>
  <c r="O69" i="7" s="1"/>
  <c r="N65" i="7"/>
  <c r="O65" i="7" s="1"/>
  <c r="E50" i="28" s="1"/>
  <c r="G61" i="6" l="1"/>
  <c r="K60" i="6"/>
  <c r="L60" i="6" s="1"/>
  <c r="H60" i="6"/>
  <c r="H59" i="6"/>
  <c r="K58" i="6"/>
  <c r="L58" i="6" s="1"/>
  <c r="H58" i="6"/>
  <c r="H57" i="6"/>
  <c r="K56" i="6"/>
  <c r="J56" i="6"/>
  <c r="G56" i="6"/>
  <c r="H56" i="6" s="1"/>
  <c r="L54" i="6"/>
  <c r="H54" i="6"/>
  <c r="K49" i="6"/>
  <c r="K50" i="6" s="1"/>
  <c r="G49" i="6"/>
  <c r="H49" i="6" s="1"/>
  <c r="J47" i="6"/>
  <c r="L47" i="6" s="1"/>
  <c r="H47" i="6"/>
  <c r="O47" i="6" s="1"/>
  <c r="K46" i="6"/>
  <c r="G46" i="6"/>
  <c r="G52" i="6" s="1"/>
  <c r="G53" i="6" s="1"/>
  <c r="G55" i="6" s="1"/>
  <c r="H55" i="6" s="1"/>
  <c r="K45" i="6"/>
  <c r="L45" i="6" s="1"/>
  <c r="G45" i="6"/>
  <c r="H45" i="6" s="1"/>
  <c r="L43" i="6"/>
  <c r="H43" i="6"/>
  <c r="K42" i="6"/>
  <c r="L42" i="6" s="1"/>
  <c r="G42" i="6"/>
  <c r="H42" i="6" s="1"/>
  <c r="K41" i="6"/>
  <c r="L41" i="6" s="1"/>
  <c r="H41" i="6"/>
  <c r="K40" i="6"/>
  <c r="L40" i="6" s="1"/>
  <c r="G40" i="6"/>
  <c r="H40" i="6" s="1"/>
  <c r="K38" i="6"/>
  <c r="L38" i="6" s="1"/>
  <c r="G38" i="6"/>
  <c r="H38" i="6" s="1"/>
  <c r="O38" i="6" s="1"/>
  <c r="K37" i="6"/>
  <c r="L37" i="6" s="1"/>
  <c r="G37" i="6"/>
  <c r="H37" i="6" s="1"/>
  <c r="O37" i="6" s="1"/>
  <c r="K36" i="6"/>
  <c r="L36" i="6" s="1"/>
  <c r="G36" i="6"/>
  <c r="H36" i="6" s="1"/>
  <c r="O36" i="6" s="1"/>
  <c r="K35" i="6"/>
  <c r="L35" i="6" s="1"/>
  <c r="G35" i="6"/>
  <c r="H35" i="6" s="1"/>
  <c r="O35" i="6" s="1"/>
  <c r="K34" i="6"/>
  <c r="L34" i="6" s="1"/>
  <c r="G34" i="6"/>
  <c r="H34" i="6" s="1"/>
  <c r="O34" i="6" s="1"/>
  <c r="K33" i="6"/>
  <c r="L33" i="6" s="1"/>
  <c r="G33" i="6"/>
  <c r="H33" i="6" s="1"/>
  <c r="O33" i="6" s="1"/>
  <c r="K32" i="6"/>
  <c r="L32" i="6" s="1"/>
  <c r="G32" i="6"/>
  <c r="H32" i="6" s="1"/>
  <c r="K31" i="6"/>
  <c r="L31" i="6" s="1"/>
  <c r="G31" i="6"/>
  <c r="H31" i="6" s="1"/>
  <c r="K30" i="6"/>
  <c r="L30" i="6" s="1"/>
  <c r="G30" i="6"/>
  <c r="H30" i="6" s="1"/>
  <c r="O30" i="6" s="1"/>
  <c r="K29" i="6"/>
  <c r="L29" i="6" s="1"/>
  <c r="G29" i="6"/>
  <c r="H29" i="6" s="1"/>
  <c r="L28" i="6"/>
  <c r="H28" i="6"/>
  <c r="O28" i="6" s="1"/>
  <c r="L27" i="6"/>
  <c r="H27" i="6"/>
  <c r="O27" i="6" s="1"/>
  <c r="L26" i="6"/>
  <c r="H26" i="6"/>
  <c r="O26" i="6" s="1"/>
  <c r="L25" i="6"/>
  <c r="H25" i="6"/>
  <c r="O25" i="6" s="1"/>
  <c r="L24" i="6"/>
  <c r="H24" i="6"/>
  <c r="O24" i="6" s="1"/>
  <c r="L23" i="6"/>
  <c r="H23" i="6"/>
  <c r="N54" i="6" l="1"/>
  <c r="O54" i="6" s="1"/>
  <c r="N47" i="6"/>
  <c r="N25" i="6"/>
  <c r="N35" i="6"/>
  <c r="N24" i="6"/>
  <c r="N28" i="6"/>
  <c r="D41" i="28"/>
  <c r="N36" i="6"/>
  <c r="N26" i="6"/>
  <c r="L46" i="6"/>
  <c r="K52" i="6"/>
  <c r="N45" i="6"/>
  <c r="O45" i="6" s="1"/>
  <c r="L56" i="6"/>
  <c r="N56" i="6" s="1"/>
  <c r="O56" i="6" s="1"/>
  <c r="L49" i="6"/>
  <c r="N49" i="6" s="1"/>
  <c r="O49" i="6" s="1"/>
  <c r="N23" i="6"/>
  <c r="O23" i="6" s="1"/>
  <c r="E41" i="28"/>
  <c r="N32" i="6"/>
  <c r="O32" i="6"/>
  <c r="N29" i="6"/>
  <c r="N34" i="6"/>
  <c r="N43" i="6"/>
  <c r="O43" i="6" s="1"/>
  <c r="N27" i="6"/>
  <c r="N33" i="6"/>
  <c r="N42" i="6"/>
  <c r="O42" i="6" s="1"/>
  <c r="H46" i="6"/>
  <c r="N31" i="6"/>
  <c r="O31" i="6" s="1"/>
  <c r="N37" i="6"/>
  <c r="N40" i="6"/>
  <c r="O40" i="6" s="1"/>
  <c r="N41" i="6"/>
  <c r="O41" i="6" s="1"/>
  <c r="L50" i="6"/>
  <c r="N58" i="6"/>
  <c r="O58" i="6" s="1"/>
  <c r="H39" i="6"/>
  <c r="H61" i="6"/>
  <c r="K61" i="6"/>
  <c r="L61" i="6" s="1"/>
  <c r="L39" i="6"/>
  <c r="N30" i="6"/>
  <c r="N38" i="6"/>
  <c r="G50" i="6"/>
  <c r="H50" i="6" s="1"/>
  <c r="N60" i="6"/>
  <c r="O60" i="6" s="1"/>
  <c r="K57" i="6"/>
  <c r="L57" i="6" s="1"/>
  <c r="K59" i="6"/>
  <c r="L59" i="6" s="1"/>
  <c r="L48" i="6" l="1"/>
  <c r="N46" i="6"/>
  <c r="O46" i="6" s="1"/>
  <c r="K53" i="6"/>
  <c r="L52" i="6"/>
  <c r="E42" i="28"/>
  <c r="O29" i="6"/>
  <c r="N59" i="6"/>
  <c r="O59" i="6" s="1"/>
  <c r="N50" i="6"/>
  <c r="O50" i="6" s="1"/>
  <c r="N61" i="6"/>
  <c r="O61" i="6" s="1"/>
  <c r="H52" i="6"/>
  <c r="H53" i="6"/>
  <c r="N57" i="6"/>
  <c r="O57" i="6" s="1"/>
  <c r="N39" i="6"/>
  <c r="O39" i="6" s="1"/>
  <c r="H48" i="6"/>
  <c r="K55" i="6" l="1"/>
  <c r="L55" i="6" s="1"/>
  <c r="L53" i="6"/>
  <c r="E43" i="28"/>
  <c r="H51" i="6"/>
  <c r="N48" i="6"/>
  <c r="O48" i="6" s="1"/>
  <c r="L51" i="6"/>
  <c r="N52" i="6"/>
  <c r="O52" i="6" s="1"/>
  <c r="N53" i="6" l="1"/>
  <c r="O53" i="6" s="1"/>
  <c r="N51" i="6"/>
  <c r="O51" i="6" s="1"/>
  <c r="L67" i="6"/>
  <c r="L63" i="6"/>
  <c r="L75" i="6" s="1"/>
  <c r="H67" i="6"/>
  <c r="H63" i="6"/>
  <c r="H75" i="6" s="1"/>
  <c r="L76" i="6" l="1"/>
  <c r="N75" i="6"/>
  <c r="O75" i="6" s="1"/>
  <c r="H76" i="6"/>
  <c r="H64" i="6"/>
  <c r="L68" i="6"/>
  <c r="L69" i="6" s="1"/>
  <c r="N67" i="6"/>
  <c r="O67" i="6" s="1"/>
  <c r="H68" i="6"/>
  <c r="H69" i="6" s="1"/>
  <c r="L64" i="6"/>
  <c r="N63" i="6"/>
  <c r="O63" i="6" s="1"/>
  <c r="N76" i="6" l="1"/>
  <c r="O76" i="6" s="1"/>
  <c r="L77" i="6"/>
  <c r="H77" i="6"/>
  <c r="N69" i="6"/>
  <c r="O69" i="6" s="1"/>
  <c r="N64" i="6"/>
  <c r="O64" i="6" s="1"/>
  <c r="H65" i="6"/>
  <c r="L65" i="6"/>
  <c r="N68" i="6"/>
  <c r="O68" i="6" s="1"/>
  <c r="N77" i="6" l="1"/>
  <c r="O77" i="6" s="1"/>
  <c r="E44" i="28" s="1"/>
  <c r="N65" i="6"/>
  <c r="O65" i="6" s="1"/>
  <c r="E45" i="28" s="1"/>
  <c r="K60" i="5" l="1"/>
  <c r="L60" i="5" s="1"/>
  <c r="H60" i="5"/>
  <c r="J56" i="5"/>
  <c r="L54" i="5"/>
  <c r="H54" i="5"/>
  <c r="K49" i="5"/>
  <c r="K50" i="5" s="1"/>
  <c r="G49" i="5"/>
  <c r="H49" i="5" s="1"/>
  <c r="J47" i="5"/>
  <c r="L47" i="5" s="1"/>
  <c r="H47" i="5"/>
  <c r="O47" i="5" s="1"/>
  <c r="K45" i="5"/>
  <c r="L45" i="5" s="1"/>
  <c r="G45" i="5"/>
  <c r="H45" i="5" s="1"/>
  <c r="L43" i="5"/>
  <c r="H43" i="5"/>
  <c r="H41" i="5"/>
  <c r="L40" i="5"/>
  <c r="G40" i="5"/>
  <c r="H40" i="5" s="1"/>
  <c r="K31" i="5"/>
  <c r="L31" i="5" s="1"/>
  <c r="G31" i="5"/>
  <c r="H31" i="5" s="1"/>
  <c r="K29" i="5"/>
  <c r="L29" i="5" s="1"/>
  <c r="G29" i="5"/>
  <c r="H29" i="5" s="1"/>
  <c r="L28" i="5"/>
  <c r="H28" i="5"/>
  <c r="O28" i="5" s="1"/>
  <c r="L27" i="5"/>
  <c r="H27" i="5"/>
  <c r="O27" i="5" s="1"/>
  <c r="L26" i="5"/>
  <c r="H26" i="5"/>
  <c r="O26" i="5" s="1"/>
  <c r="L25" i="5"/>
  <c r="H25" i="5"/>
  <c r="O25" i="5" s="1"/>
  <c r="L24" i="5"/>
  <c r="H24" i="5"/>
  <c r="O24" i="5" s="1"/>
  <c r="L23" i="5"/>
  <c r="H23" i="5"/>
  <c r="F18" i="5"/>
  <c r="G56" i="5" l="1"/>
  <c r="H56" i="5" s="1"/>
  <c r="K44" i="5"/>
  <c r="L44" i="5" s="1"/>
  <c r="G44" i="5"/>
  <c r="H44" i="5" s="1"/>
  <c r="O44" i="5" s="1"/>
  <c r="K34" i="5"/>
  <c r="L34" i="5" s="1"/>
  <c r="K30" i="5"/>
  <c r="L30" i="5" s="1"/>
  <c r="N47" i="5"/>
  <c r="G59" i="5"/>
  <c r="G58" i="5"/>
  <c r="G57" i="5"/>
  <c r="K42" i="5"/>
  <c r="L42" i="5" s="1"/>
  <c r="G30" i="5"/>
  <c r="H30" i="5" s="1"/>
  <c r="O30" i="5" s="1"/>
  <c r="G33" i="5"/>
  <c r="H33" i="5" s="1"/>
  <c r="O33" i="5" s="1"/>
  <c r="K36" i="5"/>
  <c r="L36" i="5" s="1"/>
  <c r="G32" i="5"/>
  <c r="H32" i="5" s="1"/>
  <c r="O32" i="5" s="1"/>
  <c r="K35" i="5"/>
  <c r="L35" i="5" s="1"/>
  <c r="G42" i="5"/>
  <c r="H42" i="5" s="1"/>
  <c r="G50" i="5"/>
  <c r="H50" i="5" s="1"/>
  <c r="G61" i="5"/>
  <c r="H61" i="5" s="1"/>
  <c r="G37" i="5"/>
  <c r="H37" i="5" s="1"/>
  <c r="O37" i="5" s="1"/>
  <c r="G38" i="5"/>
  <c r="H38" i="5" s="1"/>
  <c r="O38" i="5" s="1"/>
  <c r="G34" i="5"/>
  <c r="H34" i="5" s="1"/>
  <c r="O34" i="5" s="1"/>
  <c r="K37" i="5"/>
  <c r="L37" i="5" s="1"/>
  <c r="K38" i="5"/>
  <c r="L38" i="5" s="1"/>
  <c r="G46" i="5"/>
  <c r="G52" i="5" s="1"/>
  <c r="G55" i="5" s="1"/>
  <c r="H55" i="5" s="1"/>
  <c r="N31" i="5"/>
  <c r="O31" i="5" s="1"/>
  <c r="N40" i="5"/>
  <c r="O40" i="5" s="1"/>
  <c r="N54" i="5"/>
  <c r="O54" i="5" s="1"/>
  <c r="L50" i="5"/>
  <c r="L49" i="5"/>
  <c r="N24" i="5"/>
  <c r="N28" i="5"/>
  <c r="N25" i="5"/>
  <c r="N43" i="5"/>
  <c r="O43" i="5" s="1"/>
  <c r="N26" i="5"/>
  <c r="N29" i="5"/>
  <c r="O29" i="5" s="1"/>
  <c r="N45" i="5"/>
  <c r="O45" i="5" s="1"/>
  <c r="N23" i="5"/>
  <c r="O23" i="5" s="1"/>
  <c r="N27" i="5"/>
  <c r="K32" i="5"/>
  <c r="L32" i="5" s="1"/>
  <c r="K33" i="5"/>
  <c r="L33" i="5" s="1"/>
  <c r="G35" i="5"/>
  <c r="H35" i="5" s="1"/>
  <c r="O35" i="5" s="1"/>
  <c r="G36" i="5"/>
  <c r="H36" i="5" s="1"/>
  <c r="L41" i="5"/>
  <c r="K46" i="5"/>
  <c r="K56" i="5"/>
  <c r="L56" i="5" s="1"/>
  <c r="N60" i="5"/>
  <c r="O60" i="5" s="1"/>
  <c r="N44" i="5" l="1"/>
  <c r="K61" i="5"/>
  <c r="L61" i="5" s="1"/>
  <c r="N61" i="5" s="1"/>
  <c r="O61" i="5" s="1"/>
  <c r="N30" i="5"/>
  <c r="L39" i="5"/>
  <c r="H57" i="5"/>
  <c r="K57" i="5"/>
  <c r="L57" i="5" s="1"/>
  <c r="N50" i="5"/>
  <c r="O50" i="5" s="1"/>
  <c r="N38" i="5"/>
  <c r="N37" i="5"/>
  <c r="H46" i="5"/>
  <c r="N34" i="5"/>
  <c r="N49" i="5"/>
  <c r="O49" i="5" s="1"/>
  <c r="N56" i="5"/>
  <c r="O56" i="5" s="1"/>
  <c r="O36" i="5"/>
  <c r="N36" i="5"/>
  <c r="H58" i="5"/>
  <c r="K58" i="5"/>
  <c r="L58" i="5" s="1"/>
  <c r="N33" i="5"/>
  <c r="K59" i="5"/>
  <c r="L59" i="5" s="1"/>
  <c r="H59" i="5"/>
  <c r="H39" i="5"/>
  <c r="H52" i="5"/>
  <c r="G53" i="5"/>
  <c r="H53" i="5" s="1"/>
  <c r="N41" i="5"/>
  <c r="O41" i="5" s="1"/>
  <c r="N42" i="5"/>
  <c r="O42" i="5" s="1"/>
  <c r="K52" i="5"/>
  <c r="K55" i="5" s="1"/>
  <c r="L55" i="5" s="1"/>
  <c r="L46" i="5"/>
  <c r="N32" i="5"/>
  <c r="N35" i="5"/>
  <c r="L48" i="5" l="1"/>
  <c r="N57" i="5"/>
  <c r="O57" i="5" s="1"/>
  <c r="N39" i="5"/>
  <c r="O39" i="5" s="1"/>
  <c r="L51" i="5"/>
  <c r="N58" i="5"/>
  <c r="O58" i="5" s="1"/>
  <c r="N59" i="5"/>
  <c r="O59" i="5" s="1"/>
  <c r="H48" i="5"/>
  <c r="K53" i="5"/>
  <c r="L53" i="5" s="1"/>
  <c r="L52" i="5"/>
  <c r="N46" i="5"/>
  <c r="O46" i="5" s="1"/>
  <c r="L63" i="5" l="1"/>
  <c r="N52" i="5"/>
  <c r="O52" i="5" s="1"/>
  <c r="H51" i="5"/>
  <c r="N48" i="5"/>
  <c r="O48" i="5" s="1"/>
  <c r="N53" i="5"/>
  <c r="O53" i="5" s="1"/>
  <c r="L67" i="5"/>
  <c r="L64" i="5" l="1"/>
  <c r="H67" i="5"/>
  <c r="N67" i="5" s="1"/>
  <c r="H63" i="5"/>
  <c r="N51" i="5"/>
  <c r="O51" i="5" s="1"/>
  <c r="L68" i="5"/>
  <c r="L69" i="5" s="1"/>
  <c r="H64" i="5" l="1"/>
  <c r="N64" i="5" s="1"/>
  <c r="N63" i="5"/>
  <c r="O63" i="5" s="1"/>
  <c r="O67" i="5"/>
  <c r="H68" i="5"/>
  <c r="N68" i="5" s="1"/>
  <c r="L65" i="5"/>
  <c r="H69" i="5" l="1"/>
  <c r="H65" i="5"/>
  <c r="O64" i="5"/>
  <c r="O68" i="5"/>
  <c r="N65" i="5" l="1"/>
  <c r="O65" i="5" s="1"/>
  <c r="N69" i="5"/>
  <c r="O69" i="5" s="1"/>
  <c r="G61" i="4" l="1"/>
  <c r="K60" i="4"/>
  <c r="L60" i="4" s="1"/>
  <c r="H60" i="4"/>
  <c r="H59" i="4"/>
  <c r="H57" i="4"/>
  <c r="K56" i="4"/>
  <c r="J56" i="4"/>
  <c r="G56" i="4"/>
  <c r="H56" i="4" s="1"/>
  <c r="L54" i="4"/>
  <c r="H54" i="4"/>
  <c r="K49" i="4"/>
  <c r="G49" i="4"/>
  <c r="H49" i="4" s="1"/>
  <c r="J47" i="4"/>
  <c r="H47" i="4"/>
  <c r="O47" i="4" s="1"/>
  <c r="K46" i="4"/>
  <c r="G46" i="4"/>
  <c r="G52" i="4" s="1"/>
  <c r="G55" i="4" s="1"/>
  <c r="H55" i="4" s="1"/>
  <c r="K45" i="4"/>
  <c r="L45" i="4" s="1"/>
  <c r="G45" i="4"/>
  <c r="H45" i="4" s="1"/>
  <c r="L43" i="4"/>
  <c r="H43" i="4"/>
  <c r="L42" i="4"/>
  <c r="G42" i="4"/>
  <c r="H42" i="4" s="1"/>
  <c r="L40" i="4"/>
  <c r="G40" i="4"/>
  <c r="H40" i="4" s="1"/>
  <c r="K38" i="4"/>
  <c r="L38" i="4" s="1"/>
  <c r="G38" i="4"/>
  <c r="H38" i="4" s="1"/>
  <c r="O38" i="4" s="1"/>
  <c r="K37" i="4"/>
  <c r="L37" i="4" s="1"/>
  <c r="G37" i="4"/>
  <c r="H37" i="4" s="1"/>
  <c r="O37" i="4" s="1"/>
  <c r="K36" i="4"/>
  <c r="L36" i="4" s="1"/>
  <c r="G36" i="4"/>
  <c r="H36" i="4" s="1"/>
  <c r="K35" i="4"/>
  <c r="L35" i="4" s="1"/>
  <c r="G35" i="4"/>
  <c r="H35" i="4" s="1"/>
  <c r="O35" i="4" s="1"/>
  <c r="K34" i="4"/>
  <c r="L34" i="4" s="1"/>
  <c r="G34" i="4"/>
  <c r="H34" i="4" s="1"/>
  <c r="O34" i="4" s="1"/>
  <c r="K33" i="4"/>
  <c r="L33" i="4" s="1"/>
  <c r="G33" i="4"/>
  <c r="H33" i="4" s="1"/>
  <c r="O33" i="4" s="1"/>
  <c r="K32" i="4"/>
  <c r="L32" i="4" s="1"/>
  <c r="G32" i="4"/>
  <c r="H32" i="4" s="1"/>
  <c r="O32" i="4" s="1"/>
  <c r="K31" i="4"/>
  <c r="L31" i="4" s="1"/>
  <c r="G31" i="4"/>
  <c r="H31" i="4" s="1"/>
  <c r="K30" i="4"/>
  <c r="L30" i="4" s="1"/>
  <c r="G30" i="4"/>
  <c r="H30" i="4" s="1"/>
  <c r="O30" i="4" s="1"/>
  <c r="K29" i="4"/>
  <c r="L29" i="4" s="1"/>
  <c r="G29" i="4"/>
  <c r="H29" i="4" s="1"/>
  <c r="L28" i="4"/>
  <c r="H28" i="4"/>
  <c r="O28" i="4" s="1"/>
  <c r="L27" i="4"/>
  <c r="H27" i="4"/>
  <c r="O27" i="4" s="1"/>
  <c r="L26" i="4"/>
  <c r="H26" i="4"/>
  <c r="O26" i="4" s="1"/>
  <c r="L25" i="4"/>
  <c r="H25" i="4"/>
  <c r="O25" i="4" s="1"/>
  <c r="L24" i="4"/>
  <c r="H24" i="4"/>
  <c r="O24" i="4" s="1"/>
  <c r="L23" i="4"/>
  <c r="H23" i="4"/>
  <c r="D36" i="28" l="1"/>
  <c r="E36" i="28"/>
  <c r="H52" i="4"/>
  <c r="G53" i="4"/>
  <c r="H53" i="4" s="1"/>
  <c r="H46" i="4"/>
  <c r="L49" i="4"/>
  <c r="N49" i="4" s="1"/>
  <c r="O49" i="4" s="1"/>
  <c r="L56" i="4"/>
  <c r="N56" i="4" s="1"/>
  <c r="O56" i="4" s="1"/>
  <c r="H58" i="4"/>
  <c r="G50" i="4"/>
  <c r="H50" i="4" s="1"/>
  <c r="N37" i="4"/>
  <c r="L47" i="4"/>
  <c r="K58" i="4"/>
  <c r="L58" i="4" s="1"/>
  <c r="N29" i="4"/>
  <c r="O29" i="4" s="1"/>
  <c r="N40" i="4"/>
  <c r="O40" i="4" s="1"/>
  <c r="N45" i="4"/>
  <c r="O45" i="4" s="1"/>
  <c r="N32" i="4"/>
  <c r="L39" i="4"/>
  <c r="N28" i="4"/>
  <c r="N30" i="4"/>
  <c r="N35" i="4"/>
  <c r="O36" i="4"/>
  <c r="N36" i="4"/>
  <c r="N31" i="4"/>
  <c r="O31" i="4" s="1"/>
  <c r="H39" i="4"/>
  <c r="N33" i="4"/>
  <c r="N38" i="4"/>
  <c r="N43" i="4"/>
  <c r="O43" i="4" s="1"/>
  <c r="H61" i="4"/>
  <c r="K61" i="4"/>
  <c r="L61" i="4" s="1"/>
  <c r="H41" i="4"/>
  <c r="N60" i="4"/>
  <c r="O60" i="4" s="1"/>
  <c r="N23" i="4"/>
  <c r="N24" i="4"/>
  <c r="N25" i="4"/>
  <c r="N26" i="4"/>
  <c r="N27" i="4"/>
  <c r="N34" i="4"/>
  <c r="L41" i="4"/>
  <c r="N42" i="4"/>
  <c r="O42" i="4" s="1"/>
  <c r="K52" i="4"/>
  <c r="K55" i="4" s="1"/>
  <c r="L55" i="4" s="1"/>
  <c r="L46" i="4"/>
  <c r="K50" i="4"/>
  <c r="L50" i="4" s="1"/>
  <c r="N54" i="4"/>
  <c r="O54" i="4" s="1"/>
  <c r="K59" i="4"/>
  <c r="L59" i="4" s="1"/>
  <c r="K57" i="4"/>
  <c r="L57" i="4" s="1"/>
  <c r="L48" i="4" l="1"/>
  <c r="N58" i="4"/>
  <c r="O58" i="4" s="1"/>
  <c r="O23" i="4"/>
  <c r="E37" i="28"/>
  <c r="N47" i="4"/>
  <c r="N50" i="4"/>
  <c r="O50" i="4" s="1"/>
  <c r="N41" i="4"/>
  <c r="O41" i="4" s="1"/>
  <c r="N39" i="4"/>
  <c r="O39" i="4" s="1"/>
  <c r="N59" i="4"/>
  <c r="O59" i="4" s="1"/>
  <c r="N46" i="4"/>
  <c r="O46" i="4" s="1"/>
  <c r="N61" i="4"/>
  <c r="O61" i="4" s="1"/>
  <c r="L52" i="4"/>
  <c r="K53" i="4"/>
  <c r="L53" i="4" s="1"/>
  <c r="N57" i="4"/>
  <c r="O57" i="4" s="1"/>
  <c r="H48" i="4"/>
  <c r="E38" i="28" l="1"/>
  <c r="N52" i="4"/>
  <c r="O52" i="4" s="1"/>
  <c r="N48" i="4"/>
  <c r="O48" i="4" s="1"/>
  <c r="L51" i="4"/>
  <c r="H51" i="4"/>
  <c r="N53" i="4"/>
  <c r="O53" i="4" s="1"/>
  <c r="H63" i="4" l="1"/>
  <c r="H75" i="4" s="1"/>
  <c r="H67" i="4"/>
  <c r="N51" i="4"/>
  <c r="O51" i="4" s="1"/>
  <c r="L67" i="4"/>
  <c r="L63" i="4"/>
  <c r="L75" i="4" s="1"/>
  <c r="L76" i="4" l="1"/>
  <c r="N75" i="4"/>
  <c r="O75" i="4" s="1"/>
  <c r="H76" i="4"/>
  <c r="L64" i="4"/>
  <c r="N63" i="4"/>
  <c r="O63" i="4" s="1"/>
  <c r="L68" i="4"/>
  <c r="N67" i="4"/>
  <c r="O67" i="4" s="1"/>
  <c r="H68" i="4"/>
  <c r="H64" i="4"/>
  <c r="L77" i="4" l="1"/>
  <c r="H77" i="4"/>
  <c r="N76" i="4"/>
  <c r="O76" i="4" s="1"/>
  <c r="N68" i="4"/>
  <c r="O68" i="4" s="1"/>
  <c r="N64" i="4"/>
  <c r="O64" i="4" s="1"/>
  <c r="H65" i="4"/>
  <c r="L69" i="4"/>
  <c r="L65" i="4"/>
  <c r="H69" i="4"/>
  <c r="N77" i="4" l="1"/>
  <c r="O77" i="4" s="1"/>
  <c r="E39" i="28" s="1"/>
  <c r="N65" i="4"/>
  <c r="O65" i="4" s="1"/>
  <c r="E40" i="28" s="1"/>
  <c r="N69" i="4"/>
  <c r="O69" i="4" s="1"/>
  <c r="K60" i="3" l="1"/>
  <c r="L60" i="3" s="1"/>
  <c r="H60" i="3"/>
  <c r="J56" i="3"/>
  <c r="L54" i="3"/>
  <c r="H54" i="3"/>
  <c r="J47" i="3"/>
  <c r="L47" i="3" s="1"/>
  <c r="H47" i="3"/>
  <c r="O47" i="3" s="1"/>
  <c r="K45" i="3"/>
  <c r="L45" i="3" s="1"/>
  <c r="K40" i="3"/>
  <c r="L40" i="3" s="1"/>
  <c r="K31" i="3"/>
  <c r="L31" i="3" s="1"/>
  <c r="K29" i="3"/>
  <c r="L29" i="3" s="1"/>
  <c r="L28" i="3"/>
  <c r="H28" i="3"/>
  <c r="O28" i="3" s="1"/>
  <c r="L27" i="3"/>
  <c r="H27" i="3"/>
  <c r="O27" i="3" s="1"/>
  <c r="L26" i="3"/>
  <c r="H26" i="3"/>
  <c r="O26" i="3" s="1"/>
  <c r="L25" i="3"/>
  <c r="H25" i="3"/>
  <c r="O25" i="3" s="1"/>
  <c r="L24" i="3"/>
  <c r="H24" i="3"/>
  <c r="O24" i="3" s="1"/>
  <c r="L23" i="3"/>
  <c r="H23" i="3"/>
  <c r="F18" i="3"/>
  <c r="K37" i="3" l="1"/>
  <c r="L37" i="3" s="1"/>
  <c r="G44" i="3"/>
  <c r="H44" i="3" s="1"/>
  <c r="O44" i="3" s="1"/>
  <c r="K44" i="3"/>
  <c r="L44" i="3" s="1"/>
  <c r="N44" i="3" s="1"/>
  <c r="G32" i="3"/>
  <c r="H32" i="3" s="1"/>
  <c r="O32" i="3" s="1"/>
  <c r="K46" i="3"/>
  <c r="L46" i="3" s="1"/>
  <c r="G59" i="3"/>
  <c r="H59" i="3" s="1"/>
  <c r="G58" i="3"/>
  <c r="G57" i="3"/>
  <c r="N54" i="3"/>
  <c r="O54" i="3" s="1"/>
  <c r="N23" i="3"/>
  <c r="O23" i="3" s="1"/>
  <c r="N60" i="3"/>
  <c r="O60" i="3" s="1"/>
  <c r="N25" i="3"/>
  <c r="N27" i="3"/>
  <c r="G34" i="3"/>
  <c r="H34" i="3" s="1"/>
  <c r="O34" i="3" s="1"/>
  <c r="K49" i="3"/>
  <c r="G45" i="3"/>
  <c r="H45" i="3" s="1"/>
  <c r="G40" i="3"/>
  <c r="H40" i="3" s="1"/>
  <c r="G31" i="3"/>
  <c r="H31" i="3" s="1"/>
  <c r="G29" i="3"/>
  <c r="H29" i="3" s="1"/>
  <c r="N29" i="3" s="1"/>
  <c r="K33" i="3"/>
  <c r="L33" i="3" s="1"/>
  <c r="G36" i="3"/>
  <c r="H36" i="3" s="1"/>
  <c r="O36" i="3" s="1"/>
  <c r="N24" i="3"/>
  <c r="N26" i="3"/>
  <c r="N28" i="3"/>
  <c r="G30" i="3"/>
  <c r="H30" i="3" s="1"/>
  <c r="O30" i="3" s="1"/>
  <c r="K35" i="3"/>
  <c r="L35" i="3" s="1"/>
  <c r="G38" i="3"/>
  <c r="H38" i="3" s="1"/>
  <c r="O38" i="3" s="1"/>
  <c r="G49" i="3"/>
  <c r="G56" i="3"/>
  <c r="H56" i="3" s="1"/>
  <c r="K56" i="3"/>
  <c r="L56" i="3" s="1"/>
  <c r="G46" i="3"/>
  <c r="H46" i="3" s="1"/>
  <c r="G61" i="3"/>
  <c r="L43" i="3"/>
  <c r="G42" i="3"/>
  <c r="H42" i="3" s="1"/>
  <c r="K38" i="3"/>
  <c r="L38" i="3" s="1"/>
  <c r="G37" i="3"/>
  <c r="H37" i="3" s="1"/>
  <c r="O37" i="3" s="1"/>
  <c r="K36" i="3"/>
  <c r="L36" i="3" s="1"/>
  <c r="G35" i="3"/>
  <c r="H35" i="3" s="1"/>
  <c r="O35" i="3" s="1"/>
  <c r="K34" i="3"/>
  <c r="L34" i="3" s="1"/>
  <c r="G33" i="3"/>
  <c r="H33" i="3" s="1"/>
  <c r="O33" i="3" s="1"/>
  <c r="K32" i="3"/>
  <c r="L32" i="3" s="1"/>
  <c r="K30" i="3"/>
  <c r="L30" i="3" s="1"/>
  <c r="K42" i="3"/>
  <c r="L42" i="3" s="1"/>
  <c r="N47" i="3"/>
  <c r="N46" i="3" l="1"/>
  <c r="O46" i="3" s="1"/>
  <c r="K52" i="3"/>
  <c r="K55" i="3" s="1"/>
  <c r="L55" i="3" s="1"/>
  <c r="G52" i="3"/>
  <c r="K59" i="3"/>
  <c r="L59" i="3" s="1"/>
  <c r="N59" i="3" s="1"/>
  <c r="O59" i="3" s="1"/>
  <c r="N40" i="3"/>
  <c r="O40" i="3" s="1"/>
  <c r="H41" i="3"/>
  <c r="K41" i="3"/>
  <c r="L41" i="3" s="1"/>
  <c r="N32" i="3"/>
  <c r="L39" i="3"/>
  <c r="N35" i="3"/>
  <c r="K50" i="3"/>
  <c r="L50" i="3" s="1"/>
  <c r="L49" i="3"/>
  <c r="N37" i="3"/>
  <c r="N42" i="3"/>
  <c r="O42" i="3" s="1"/>
  <c r="N30" i="3"/>
  <c r="K58" i="3"/>
  <c r="L58" i="3" s="1"/>
  <c r="H58" i="3"/>
  <c r="N56" i="3"/>
  <c r="O56" i="3" s="1"/>
  <c r="G50" i="3"/>
  <c r="H50" i="3" s="1"/>
  <c r="H49" i="3"/>
  <c r="N33" i="3"/>
  <c r="N36" i="3"/>
  <c r="N43" i="3"/>
  <c r="O43" i="3" s="1"/>
  <c r="K61" i="3"/>
  <c r="L61" i="3" s="1"/>
  <c r="H61" i="3"/>
  <c r="O29" i="3"/>
  <c r="N34" i="3"/>
  <c r="N38" i="3"/>
  <c r="H57" i="3"/>
  <c r="K57" i="3"/>
  <c r="L57" i="3" s="1"/>
  <c r="N45" i="3"/>
  <c r="O45" i="3" s="1"/>
  <c r="H39" i="3"/>
  <c r="N31" i="3"/>
  <c r="O31" i="3" s="1"/>
  <c r="H48" i="3" l="1"/>
  <c r="K53" i="3"/>
  <c r="L53" i="3" s="1"/>
  <c r="L52" i="3"/>
  <c r="G55" i="3"/>
  <c r="H55" i="3" s="1"/>
  <c r="G53" i="3"/>
  <c r="H53" i="3" s="1"/>
  <c r="H52" i="3"/>
  <c r="N41" i="3"/>
  <c r="O41" i="3" s="1"/>
  <c r="N61" i="3"/>
  <c r="O61" i="3" s="1"/>
  <c r="L48" i="3"/>
  <c r="N39" i="3"/>
  <c r="O39" i="3" s="1"/>
  <c r="N57" i="3"/>
  <c r="O57" i="3" s="1"/>
  <c r="N58" i="3"/>
  <c r="O58" i="3" s="1"/>
  <c r="N49" i="3"/>
  <c r="O49" i="3" s="1"/>
  <c r="N50" i="3"/>
  <c r="O50" i="3" s="1"/>
  <c r="N53" i="3" l="1"/>
  <c r="O53" i="3" s="1"/>
  <c r="N52" i="3"/>
  <c r="O52" i="3" s="1"/>
  <c r="N48" i="3"/>
  <c r="O48" i="3" s="1"/>
  <c r="L51" i="3"/>
  <c r="H51" i="3"/>
  <c r="N51" i="3" l="1"/>
  <c r="O51" i="3" s="1"/>
  <c r="L67" i="3"/>
  <c r="L63" i="3"/>
  <c r="H63" i="3"/>
  <c r="H67" i="3"/>
  <c r="H68" i="3" l="1"/>
  <c r="H64" i="3"/>
  <c r="H65" i="3" s="1"/>
  <c r="N63" i="3"/>
  <c r="O63" i="3" s="1"/>
  <c r="L64" i="3"/>
  <c r="L65" i="3" s="1"/>
  <c r="N67" i="3"/>
  <c r="O67" i="3" s="1"/>
  <c r="L68" i="3"/>
  <c r="L69" i="3" s="1"/>
  <c r="N64" i="3" l="1"/>
  <c r="O64" i="3" s="1"/>
  <c r="N68" i="3"/>
  <c r="O68" i="3" s="1"/>
  <c r="N65" i="3"/>
  <c r="O65" i="3" s="1"/>
  <c r="H69" i="3"/>
  <c r="N69" i="3" l="1"/>
  <c r="O69" i="3" s="1"/>
  <c r="G60" i="2" l="1"/>
  <c r="K59" i="2"/>
  <c r="L59" i="2" s="1"/>
  <c r="H59" i="2"/>
  <c r="K57" i="2"/>
  <c r="L57" i="2" s="1"/>
  <c r="H57" i="2"/>
  <c r="H56" i="2"/>
  <c r="K55" i="2"/>
  <c r="J55" i="2"/>
  <c r="G55" i="2"/>
  <c r="H55" i="2" s="1"/>
  <c r="L53" i="2"/>
  <c r="H53" i="2"/>
  <c r="K48" i="2"/>
  <c r="K49" i="2" s="1"/>
  <c r="K52" i="2" s="1"/>
  <c r="L52" i="2" s="1"/>
  <c r="L46" i="2"/>
  <c r="H46" i="2"/>
  <c r="K45" i="2"/>
  <c r="G45" i="2"/>
  <c r="K44" i="2"/>
  <c r="L44" i="2" s="1"/>
  <c r="G44" i="2"/>
  <c r="H44" i="2" s="1"/>
  <c r="K43" i="2"/>
  <c r="L43" i="2" s="1"/>
  <c r="G43" i="2"/>
  <c r="H43" i="2" s="1"/>
  <c r="O43" i="2" s="1"/>
  <c r="K42" i="2"/>
  <c r="L42" i="2" s="1"/>
  <c r="G42" i="2"/>
  <c r="H42" i="2" s="1"/>
  <c r="K41" i="2"/>
  <c r="L41" i="2" s="1"/>
  <c r="G41" i="2"/>
  <c r="H41" i="2" s="1"/>
  <c r="K40" i="2"/>
  <c r="L40" i="2" s="1"/>
  <c r="G40" i="2"/>
  <c r="H40" i="2" s="1"/>
  <c r="K38" i="2"/>
  <c r="L38" i="2" s="1"/>
  <c r="G38" i="2"/>
  <c r="H38" i="2" s="1"/>
  <c r="O38" i="2" s="1"/>
  <c r="K37" i="2"/>
  <c r="L37" i="2" s="1"/>
  <c r="G37" i="2"/>
  <c r="H37" i="2" s="1"/>
  <c r="O37" i="2" s="1"/>
  <c r="K36" i="2"/>
  <c r="L36" i="2" s="1"/>
  <c r="G36" i="2"/>
  <c r="H36" i="2" s="1"/>
  <c r="O36" i="2" s="1"/>
  <c r="K35" i="2"/>
  <c r="L35" i="2" s="1"/>
  <c r="G35" i="2"/>
  <c r="H35" i="2" s="1"/>
  <c r="O35" i="2" s="1"/>
  <c r="K34" i="2"/>
  <c r="L34" i="2" s="1"/>
  <c r="G34" i="2"/>
  <c r="H34" i="2" s="1"/>
  <c r="O34" i="2" s="1"/>
  <c r="K33" i="2"/>
  <c r="L33" i="2" s="1"/>
  <c r="G33" i="2"/>
  <c r="H33" i="2" s="1"/>
  <c r="O33" i="2" s="1"/>
  <c r="K32" i="2"/>
  <c r="L32" i="2" s="1"/>
  <c r="G32" i="2"/>
  <c r="H32" i="2" s="1"/>
  <c r="O32" i="2" s="1"/>
  <c r="K31" i="2"/>
  <c r="L31" i="2" s="1"/>
  <c r="G31" i="2"/>
  <c r="H31" i="2" s="1"/>
  <c r="K30" i="2"/>
  <c r="L30" i="2" s="1"/>
  <c r="G30" i="2"/>
  <c r="H30" i="2" s="1"/>
  <c r="O30" i="2" s="1"/>
  <c r="K29" i="2"/>
  <c r="L29" i="2" s="1"/>
  <c r="G29" i="2"/>
  <c r="H29" i="2" s="1"/>
  <c r="L28" i="2"/>
  <c r="H28" i="2"/>
  <c r="O28" i="2" s="1"/>
  <c r="L27" i="2"/>
  <c r="H27" i="2"/>
  <c r="O27" i="2" s="1"/>
  <c r="L26" i="2"/>
  <c r="H26" i="2"/>
  <c r="O26" i="2" s="1"/>
  <c r="L25" i="2"/>
  <c r="H25" i="2"/>
  <c r="O25" i="2" s="1"/>
  <c r="L24" i="2"/>
  <c r="H24" i="2"/>
  <c r="O24" i="2" s="1"/>
  <c r="L23" i="2"/>
  <c r="H23" i="2"/>
  <c r="N30" i="2" l="1"/>
  <c r="N43" i="2"/>
  <c r="K60" i="2"/>
  <c r="L60" i="2" s="1"/>
  <c r="N33" i="2"/>
  <c r="L55" i="2"/>
  <c r="N55" i="2" s="1"/>
  <c r="O55" i="2" s="1"/>
  <c r="N29" i="2"/>
  <c r="O29" i="2" s="1"/>
  <c r="N34" i="2"/>
  <c r="N36" i="2"/>
  <c r="L45" i="2"/>
  <c r="N27" i="2"/>
  <c r="N42" i="2"/>
  <c r="O42" i="2" s="1"/>
  <c r="N59" i="2"/>
  <c r="O59" i="2" s="1"/>
  <c r="N26" i="2"/>
  <c r="N44" i="2"/>
  <c r="O44" i="2" s="1"/>
  <c r="H39" i="2"/>
  <c r="N25" i="2"/>
  <c r="N31" i="2"/>
  <c r="O31" i="2" s="1"/>
  <c r="N35" i="2"/>
  <c r="N37" i="2"/>
  <c r="N38" i="2"/>
  <c r="H48" i="2"/>
  <c r="G49" i="2"/>
  <c r="N23" i="2"/>
  <c r="O23" i="2" s="1"/>
  <c r="L39" i="2"/>
  <c r="N24" i="2"/>
  <c r="N28" i="2"/>
  <c r="N32" i="2"/>
  <c r="N40" i="2"/>
  <c r="O40" i="2" s="1"/>
  <c r="N41" i="2"/>
  <c r="O41" i="2" s="1"/>
  <c r="N46" i="2"/>
  <c r="O46" i="2" s="1"/>
  <c r="L49" i="2"/>
  <c r="N53" i="2"/>
  <c r="O53" i="2" s="1"/>
  <c r="H45" i="2"/>
  <c r="L48" i="2"/>
  <c r="K51" i="2"/>
  <c r="L51" i="2" s="1"/>
  <c r="N57" i="2"/>
  <c r="O57" i="2" s="1"/>
  <c r="K58" i="2"/>
  <c r="L58" i="2" s="1"/>
  <c r="H58" i="2"/>
  <c r="K56" i="2"/>
  <c r="L56" i="2" s="1"/>
  <c r="H60" i="2"/>
  <c r="N60" i="2" l="1"/>
  <c r="O60" i="2" s="1"/>
  <c r="G51" i="2"/>
  <c r="H51" i="2" s="1"/>
  <c r="G52" i="2"/>
  <c r="H52" i="2" s="1"/>
  <c r="H49" i="2"/>
  <c r="N45" i="2"/>
  <c r="O45" i="2" s="1"/>
  <c r="N56" i="2"/>
  <c r="O56" i="2" s="1"/>
  <c r="N58" i="2"/>
  <c r="O58" i="2" s="1"/>
  <c r="H47" i="2"/>
  <c r="N48" i="2"/>
  <c r="O48" i="2" s="1"/>
  <c r="L47" i="2"/>
  <c r="N39" i="2"/>
  <c r="O39" i="2" s="1"/>
  <c r="H50" i="2" l="1"/>
  <c r="H62" i="2" s="1"/>
  <c r="N49" i="2"/>
  <c r="O49" i="2" s="1"/>
  <c r="N51" i="2"/>
  <c r="O51" i="2" s="1"/>
  <c r="N47" i="2"/>
  <c r="O47" i="2" s="1"/>
  <c r="L50" i="2"/>
  <c r="N52" i="2"/>
  <c r="O52" i="2" s="1"/>
  <c r="N50" i="2" l="1"/>
  <c r="O50" i="2" s="1"/>
  <c r="L66" i="2"/>
  <c r="L62" i="2"/>
  <c r="H63" i="2"/>
  <c r="H64" i="2" s="1"/>
  <c r="H66" i="2"/>
  <c r="H67" i="2" l="1"/>
  <c r="L63" i="2"/>
  <c r="L64" i="2" s="1"/>
  <c r="N62" i="2"/>
  <c r="O62" i="2" s="1"/>
  <c r="L67" i="2"/>
  <c r="N66" i="2"/>
  <c r="O66" i="2" s="1"/>
  <c r="N64" i="2" l="1"/>
  <c r="O64" i="2" s="1"/>
  <c r="N67" i="2"/>
  <c r="O67" i="2" s="1"/>
  <c r="L68" i="2"/>
  <c r="N63" i="2"/>
  <c r="O63" i="2" s="1"/>
  <c r="H68" i="2"/>
  <c r="N68" i="2" l="1"/>
  <c r="O68" i="2" s="1"/>
  <c r="G59" i="1" l="1"/>
  <c r="G58" i="1"/>
  <c r="H57" i="1"/>
  <c r="L53" i="1"/>
  <c r="H53" i="1"/>
  <c r="K48" i="1"/>
  <c r="K49" i="1" s="1"/>
  <c r="G49" i="1"/>
  <c r="L46" i="1"/>
  <c r="H46" i="1"/>
  <c r="K45" i="1"/>
  <c r="G45" i="1"/>
  <c r="K44" i="1"/>
  <c r="L44" i="1" s="1"/>
  <c r="G44" i="1"/>
  <c r="H44" i="1" s="1"/>
  <c r="K43" i="1"/>
  <c r="L43" i="1" s="1"/>
  <c r="G43" i="1"/>
  <c r="H43" i="1" s="1"/>
  <c r="O43" i="1" s="1"/>
  <c r="K42" i="1"/>
  <c r="L42" i="1" s="1"/>
  <c r="G42" i="1"/>
  <c r="H42" i="1" s="1"/>
  <c r="L41" i="1"/>
  <c r="H41" i="1"/>
  <c r="K40" i="1"/>
  <c r="L40" i="1" s="1"/>
  <c r="G40" i="1"/>
  <c r="H40" i="1" s="1"/>
  <c r="K38" i="1"/>
  <c r="L38" i="1" s="1"/>
  <c r="G38" i="1"/>
  <c r="H38" i="1" s="1"/>
  <c r="O38" i="1" s="1"/>
  <c r="K37" i="1"/>
  <c r="L37" i="1" s="1"/>
  <c r="G37" i="1"/>
  <c r="H37" i="1" s="1"/>
  <c r="O37" i="1" s="1"/>
  <c r="K36" i="1"/>
  <c r="L36" i="1" s="1"/>
  <c r="G36" i="1"/>
  <c r="H36" i="1" s="1"/>
  <c r="O36" i="1" s="1"/>
  <c r="K35" i="1"/>
  <c r="L35" i="1" s="1"/>
  <c r="G35" i="1"/>
  <c r="H35" i="1" s="1"/>
  <c r="O35" i="1" s="1"/>
  <c r="K34" i="1"/>
  <c r="L34" i="1" s="1"/>
  <c r="G34" i="1"/>
  <c r="H34" i="1" s="1"/>
  <c r="O34" i="1" s="1"/>
  <c r="K33" i="1"/>
  <c r="L33" i="1" s="1"/>
  <c r="G33" i="1"/>
  <c r="H33" i="1" s="1"/>
  <c r="O33" i="1" s="1"/>
  <c r="K32" i="1"/>
  <c r="L32" i="1" s="1"/>
  <c r="G32" i="1"/>
  <c r="H32" i="1" s="1"/>
  <c r="O32" i="1" s="1"/>
  <c r="K31" i="1"/>
  <c r="L31" i="1" s="1"/>
  <c r="G31" i="1"/>
  <c r="H31" i="1" s="1"/>
  <c r="K30" i="1"/>
  <c r="L30" i="1" s="1"/>
  <c r="G30" i="1"/>
  <c r="H30" i="1" s="1"/>
  <c r="O30" i="1" s="1"/>
  <c r="K29" i="1"/>
  <c r="L29" i="1" s="1"/>
  <c r="G29" i="1"/>
  <c r="H29" i="1" s="1"/>
  <c r="L28" i="1"/>
  <c r="H28" i="1"/>
  <c r="O28" i="1" s="1"/>
  <c r="L27" i="1"/>
  <c r="H27" i="1"/>
  <c r="O27" i="1" s="1"/>
  <c r="L26" i="1"/>
  <c r="H26" i="1"/>
  <c r="O26" i="1" s="1"/>
  <c r="L25" i="1"/>
  <c r="H25" i="1"/>
  <c r="O25" i="1" s="1"/>
  <c r="L24" i="1"/>
  <c r="H24" i="1"/>
  <c r="O24" i="1" s="1"/>
  <c r="L23" i="1"/>
  <c r="H23" i="1"/>
  <c r="N25" i="1" l="1"/>
  <c r="N28" i="1"/>
  <c r="N53" i="1"/>
  <c r="O53" i="1" s="1"/>
  <c r="N46" i="1"/>
  <c r="O46" i="1" s="1"/>
  <c r="H45" i="1"/>
  <c r="N41" i="1"/>
  <c r="O41" i="1" s="1"/>
  <c r="L45" i="1"/>
  <c r="H48" i="1"/>
  <c r="H56" i="1"/>
  <c r="H58" i="1"/>
  <c r="K56" i="1"/>
  <c r="L56" i="1" s="1"/>
  <c r="K58" i="1"/>
  <c r="L58" i="1" s="1"/>
  <c r="L39" i="1"/>
  <c r="E11" i="28"/>
  <c r="N24" i="1"/>
  <c r="N23" i="1"/>
  <c r="N26" i="1"/>
  <c r="D11" i="28"/>
  <c r="N32" i="1"/>
  <c r="N34" i="1"/>
  <c r="N36" i="1"/>
  <c r="N30" i="1"/>
  <c r="N38" i="1"/>
  <c r="L49" i="1"/>
  <c r="K51" i="1"/>
  <c r="L51" i="1" s="1"/>
  <c r="N29" i="1"/>
  <c r="O29" i="1" s="1"/>
  <c r="N31" i="1"/>
  <c r="O31" i="1" s="1"/>
  <c r="N33" i="1"/>
  <c r="N35" i="1"/>
  <c r="N37" i="1"/>
  <c r="N40" i="1"/>
  <c r="O40" i="1" s="1"/>
  <c r="N42" i="1"/>
  <c r="O42" i="1" s="1"/>
  <c r="K52" i="1"/>
  <c r="L52" i="1" s="1"/>
  <c r="N27" i="1"/>
  <c r="N44" i="1"/>
  <c r="O44" i="1" s="1"/>
  <c r="L48" i="1"/>
  <c r="H39" i="1"/>
  <c r="N43" i="1"/>
  <c r="G52" i="1"/>
  <c r="H52" i="1" s="1"/>
  <c r="G51" i="1"/>
  <c r="H51" i="1" s="1"/>
  <c r="K55" i="1"/>
  <c r="L55" i="1" s="1"/>
  <c r="H55" i="1"/>
  <c r="K59" i="1"/>
  <c r="L59" i="1" s="1"/>
  <c r="H59" i="1"/>
  <c r="H49" i="1"/>
  <c r="K57" i="1"/>
  <c r="L57" i="1" s="1"/>
  <c r="O23" i="1" l="1"/>
  <c r="E12" i="28"/>
  <c r="E13" i="28" s="1"/>
  <c r="N58" i="1"/>
  <c r="O58" i="1" s="1"/>
  <c r="N45" i="1"/>
  <c r="O45" i="1" s="1"/>
  <c r="L47" i="1"/>
  <c r="L50" i="1" s="1"/>
  <c r="L61" i="1" s="1"/>
  <c r="L73" i="1" s="1"/>
  <c r="N56" i="1"/>
  <c r="O56" i="1" s="1"/>
  <c r="N48" i="1"/>
  <c r="O48" i="1" s="1"/>
  <c r="N55" i="1"/>
  <c r="O55" i="1" s="1"/>
  <c r="H47" i="1"/>
  <c r="N52" i="1"/>
  <c r="O52" i="1" s="1"/>
  <c r="N59" i="1"/>
  <c r="O59" i="1" s="1"/>
  <c r="N51" i="1"/>
  <c r="O51" i="1" s="1"/>
  <c r="N57" i="1"/>
  <c r="O57" i="1" s="1"/>
  <c r="N49" i="1"/>
  <c r="O49" i="1" s="1"/>
  <c r="N39" i="1"/>
  <c r="O39" i="1" s="1"/>
  <c r="N47" i="1" l="1"/>
  <c r="O47" i="1" s="1"/>
  <c r="L74" i="1"/>
  <c r="L62" i="1"/>
  <c r="L63" i="1" s="1"/>
  <c r="L65" i="1"/>
  <c r="H50" i="1"/>
  <c r="L75" i="1" l="1"/>
  <c r="H65" i="1"/>
  <c r="H61" i="1"/>
  <c r="H73" i="1" s="1"/>
  <c r="L66" i="1"/>
  <c r="L67" i="1" s="1"/>
  <c r="N50" i="1"/>
  <c r="O50" i="1" s="1"/>
  <c r="N65" i="1" l="1"/>
  <c r="O65" i="1" s="1"/>
  <c r="H74" i="1"/>
  <c r="N74" i="1" s="1"/>
  <c r="O74" i="1" s="1"/>
  <c r="N73" i="1"/>
  <c r="O73" i="1" s="1"/>
  <c r="H62" i="1"/>
  <c r="H63" i="1" s="1"/>
  <c r="N61" i="1"/>
  <c r="O61" i="1" s="1"/>
  <c r="H66" i="1"/>
  <c r="N66" i="1" s="1"/>
  <c r="H67" i="1" l="1"/>
  <c r="H75" i="1"/>
  <c r="N63" i="1"/>
  <c r="O63" i="1" s="1"/>
  <c r="E15" i="28" s="1"/>
  <c r="N62" i="1"/>
  <c r="O62" i="1" s="1"/>
  <c r="O66" i="1"/>
  <c r="N75" i="1" l="1"/>
  <c r="O75" i="1" s="1"/>
  <c r="E14" i="28" s="1"/>
  <c r="N67" i="1"/>
  <c r="O67" i="1" s="1"/>
</calcChain>
</file>

<file path=xl/comments1.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comments10.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11.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12.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13.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14.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15.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16.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 ref="B44" authorId="0">
      <text>
        <r>
          <rPr>
            <b/>
            <sz val="8"/>
            <color indexed="81"/>
            <rFont val="Tahoma"/>
            <family val="2"/>
          </rPr>
          <t>Insert each specific Deferral/Variance Account Disposition Rate Rider(s) as required</t>
        </r>
      </text>
    </comment>
  </commentList>
</comments>
</file>

<file path=xl/comments17.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18.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19.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1" authorId="0">
      <text>
        <r>
          <rPr>
            <b/>
            <sz val="8"/>
            <color indexed="81"/>
            <rFont val="Tahoma"/>
            <family val="2"/>
          </rPr>
          <t>Insert each specific Deferral/Variance Account Disposition Rate Rider(s) as required</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comments20.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1.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2.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3.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4.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5.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6.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3.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comments4.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comments5.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6.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7.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8.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9.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sharedStrings.xml><?xml version="1.0" encoding="utf-8"?>
<sst xmlns="http://schemas.openxmlformats.org/spreadsheetml/2006/main" count="2459" uniqueCount="138">
  <si>
    <t>Bill Impacts</t>
  </si>
  <si>
    <t>Customer Class:</t>
  </si>
  <si>
    <t>Residential</t>
  </si>
  <si>
    <t>TOU / non-TOU:</t>
  </si>
  <si>
    <t>TOU</t>
  </si>
  <si>
    <t>Consumption</t>
  </si>
  <si>
    <t xml:space="preserve"> kWh</t>
  </si>
  <si>
    <t>Current Board-Approved</t>
  </si>
  <si>
    <t>2017 Proposed</t>
  </si>
  <si>
    <t>Impact 2017 vs 2016</t>
  </si>
  <si>
    <t>Charge Unit</t>
  </si>
  <si>
    <t>Rate</t>
  </si>
  <si>
    <t>Volume</t>
  </si>
  <si>
    <t>Charge</t>
  </si>
  <si>
    <t>$ Change</t>
  </si>
  <si>
    <t>% Change</t>
  </si>
  <si>
    <t>($)</t>
  </si>
  <si>
    <t>Monthly Service Charge</t>
  </si>
  <si>
    <t>Monthly</t>
  </si>
  <si>
    <t>Smart Meter Rate Adder</t>
  </si>
  <si>
    <t>Distribution Volumetric Rate</t>
  </si>
  <si>
    <t>per kWh</t>
  </si>
  <si>
    <t>Smart Meter Disposition Rider</t>
  </si>
  <si>
    <t>LRAM &amp; SSM Rate Rider</t>
  </si>
  <si>
    <t>Sub-Total A (excluding pass through)</t>
  </si>
  <si>
    <t>Deferral/Variance Account Disposition Rate Rider</t>
  </si>
  <si>
    <t>Low Voltage Service Charge</t>
  </si>
  <si>
    <t>Line Losses on Cost of Power</t>
  </si>
  <si>
    <t>Smart Meter Entity Charge</t>
  </si>
  <si>
    <t>Sub-Total B - Distribution (includes Sub-Total A)</t>
  </si>
  <si>
    <t>RTSR - Network</t>
  </si>
  <si>
    <t>RTSR - Line and Transformation Connection</t>
  </si>
  <si>
    <t>Sub-Total C - Delivery (including Sub-Total B)</t>
  </si>
  <si>
    <t>Wholesale Market Service Charge (WMSC)</t>
  </si>
  <si>
    <t>Rural and Remote Rate Protection (RRRP)</t>
  </si>
  <si>
    <t>Standard Supply Service Charge</t>
  </si>
  <si>
    <t>Debt Retirement Charge (DRC)</t>
  </si>
  <si>
    <t>TOU - Off Peak</t>
  </si>
  <si>
    <t>TOU - Mid Peak</t>
  </si>
  <si>
    <t>TOU - On Peak</t>
  </si>
  <si>
    <t>Energy - RPP - Tier 1</t>
  </si>
  <si>
    <t>Energy - RPP - Tier 2</t>
  </si>
  <si>
    <t>Total Bill on TOU (before Taxes)</t>
  </si>
  <si>
    <t>HST</t>
  </si>
  <si>
    <r>
      <t xml:space="preserve">Total Bill </t>
    </r>
    <r>
      <rPr>
        <sz val="10"/>
        <rFont val="Arial"/>
        <family val="2"/>
      </rPr>
      <t>(including HST)</t>
    </r>
  </si>
  <si>
    <t>Total Bill on RPP (before Taxes)</t>
  </si>
  <si>
    <t>Loss Factor (%)</t>
  </si>
  <si>
    <t xml:space="preserve">Note that the "Charge $" columns provide breakdowns of the amounts that each bill component contributes to the total monthly bill at the referenced </t>
  </si>
  <si>
    <t>consumption level at existing and proposed rates.</t>
  </si>
  <si>
    <t>to their service territory, class by class. A general guideline of consumption levels follows:</t>
  </si>
  <si>
    <t>GS&lt;50kW (kWh) - 1000, 2000, 5000, 10000, 15000</t>
  </si>
  <si>
    <t>GS&gt;50kW (kW) - 60, 100, 500, 1000</t>
  </si>
  <si>
    <t>Large User - range appropriate for utility</t>
  </si>
  <si>
    <t>Lighting Classes and USL - 150 kWh and 1 kW, range appropriate for utility.</t>
  </si>
  <si>
    <t>Note that cells with the highlighted color shown to the left indicate quantities that are loss adjusted.</t>
  </si>
  <si>
    <t>Hydro Ottawa has updated column Fto reflect the most recent Board Approved TOU and Tier RPP rates.</t>
  </si>
  <si>
    <t>General Service &lt; 50 kW</t>
  </si>
  <si>
    <t>General Service 50 to 1,499 KW</t>
  </si>
  <si>
    <t>KW</t>
  </si>
  <si>
    <t>per kW</t>
  </si>
  <si>
    <t xml:space="preserve">Deferral/Variance Account Disposition Rate Rider -  Global Adjustment </t>
  </si>
  <si>
    <t>General Service 1,500 to 4,999 KW</t>
  </si>
  <si>
    <t>Large User</t>
  </si>
  <si>
    <t>Unmetered Scattered Load</t>
  </si>
  <si>
    <t>Sentinel Lights</t>
  </si>
  <si>
    <t>Street Light</t>
  </si>
  <si>
    <t>Rate Class</t>
  </si>
  <si>
    <t>Residential
 (800 kWh)</t>
  </si>
  <si>
    <t>Distribution Charge</t>
  </si>
  <si>
    <t>Change in Distribution Charge</t>
  </si>
  <si>
    <t>% Distribution Increase</t>
  </si>
  <si>
    <t>% Increase of Total Bill - No VA</t>
  </si>
  <si>
    <t>% Increase of Total Bill</t>
  </si>
  <si>
    <t>General Service &lt;50kW 
(2000 kWh)</t>
  </si>
  <si>
    <t>General Service 50-1,499 kWh 
(250 KW)</t>
  </si>
  <si>
    <t>General Service 1,500-4,999 kWh
(2500 KW)</t>
  </si>
  <si>
    <t>Large Use
 (7500KW)</t>
  </si>
  <si>
    <t>Sentinel Lighting
(0.4 KW)</t>
  </si>
  <si>
    <t>Street Lighting
(1 KW)</t>
  </si>
  <si>
    <t>Unmetered Scattered Load
(470 kWh)</t>
  </si>
  <si>
    <t>Variable</t>
  </si>
  <si>
    <t>GS &lt;50</t>
  </si>
  <si>
    <t>GS 50 to 1,499 kW</t>
  </si>
  <si>
    <t xml:space="preserve">GS 1,500 to 4,999 kW </t>
  </si>
  <si>
    <t>Large Use</t>
  </si>
  <si>
    <t>Sentinel</t>
  </si>
  <si>
    <t>Standby Power  GS 50 to 1,499 kW</t>
  </si>
  <si>
    <t>Standby Power GS 1,500 to 4,999 kW</t>
  </si>
  <si>
    <t>Standby Power Large Use</t>
  </si>
  <si>
    <t>Fixed</t>
  </si>
  <si>
    <t>Distribution</t>
  </si>
  <si>
    <t>Rate Rider Calculation for Deferral / Variance Accounts Balances (excluding Global Adj.)</t>
  </si>
  <si>
    <t>1550, 1551, 1584, 1586, 1595</t>
  </si>
  <si>
    <t>$/kWh</t>
  </si>
  <si>
    <t>$/kW</t>
  </si>
  <si>
    <t/>
  </si>
  <si>
    <t>Rate Rider Calculation for RSVA - Power - Global Adjustment</t>
  </si>
  <si>
    <t>Rate Rider Calculation for Group 2 Accounts</t>
  </si>
  <si>
    <t>per customer per month</t>
  </si>
  <si>
    <t>Rate Rider Calculation for Accounts 1568 - LRAM</t>
  </si>
  <si>
    <t>Deferral/Variance Account Disposition Rate Rider Group 2</t>
  </si>
  <si>
    <t>Deferral/Variance Account Disposition Rate Rider Group 1</t>
  </si>
  <si>
    <t>Deferral/Variance Account Disposition Rate Rider Class 1</t>
  </si>
  <si>
    <t>Deferral/Variance Account Disposition Rate Rider Class 2</t>
  </si>
  <si>
    <t>Residential
 (232 kWh)</t>
  </si>
  <si>
    <t>Proposed Rate</t>
  </si>
  <si>
    <t>Rate Rider Calculation for Deferral / Variance Accounts Balances (excluding Global Adj.) - NON-WMP</t>
  </si>
  <si>
    <t>1580 and 1588</t>
  </si>
  <si>
    <t>Deferral / Variance Accounts Balances (excluding Global Adj.) - NON-WMP</t>
  </si>
  <si>
    <t>SME</t>
  </si>
  <si>
    <t>RTSR- Network</t>
  </si>
  <si>
    <t>RTSR- Line &amp; Transformation</t>
  </si>
  <si>
    <t>All Classes</t>
  </si>
  <si>
    <t>Rural Rate Protection</t>
  </si>
  <si>
    <t>Debt Retirement Charge</t>
  </si>
  <si>
    <t>TOU Pricing</t>
  </si>
  <si>
    <t>Off Peak</t>
  </si>
  <si>
    <t>Mid Peak</t>
  </si>
  <si>
    <t>On Peak</t>
  </si>
  <si>
    <t>Tier 1</t>
  </si>
  <si>
    <t>Tier 2</t>
  </si>
  <si>
    <t>Ontario Electricity Support Program</t>
  </si>
  <si>
    <t>Ontario Electricity Support (OESP)</t>
  </si>
  <si>
    <t xml:space="preserve">Rates Summary </t>
  </si>
  <si>
    <t>2016 Approved</t>
  </si>
  <si>
    <t>Residential
 (750 kWh)</t>
  </si>
  <si>
    <t>Residential
 (640 kWh)</t>
  </si>
  <si>
    <t>Current</t>
  </si>
  <si>
    <t>Rate Rider Calculation for WMS - Sub-account CBR Class B</t>
  </si>
  <si>
    <t>All Classes - Except Residential</t>
  </si>
  <si>
    <t>Loss Factors used for Bill Impacts</t>
  </si>
  <si>
    <t>All Classes who are SSS</t>
  </si>
  <si>
    <t>Wholesale Market Service Charge used for bill Impacts</t>
  </si>
  <si>
    <t>Residential - Non SSS Only</t>
  </si>
  <si>
    <t>GS &lt;50 - Non SSS Only</t>
  </si>
  <si>
    <t>Residential (kWh) - 100, 250, 500, 800, 1000, 1500, 2000</t>
  </si>
  <si>
    <t>Applicants must provide bill impacts for residential at 800 kWh and GS&lt;50kW at 2000 kWh. In addition, their filing must cover the range that is relevant</t>
  </si>
  <si>
    <t>Attachment 8-12(A)</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</si>
</sst>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quot;$&quot;* #,##0.0000_-;\-&quot;$&quot;* #,##0.0000_-;_-&quot;$&quot;* &quot;-&quot;??_-;_-@_-"/>
    <numFmt numFmtId="166" formatCode="_-&quot;$&quot;* #,##0.00000_-;\-&quot;$&quot;* #,##0.00000_-;_-&quot;$&quot;* &quot;-&quot;??_-;_-@_-"/>
    <numFmt numFmtId="167" formatCode="0.0000%"/>
    <numFmt numFmtId="168" formatCode="_(* #,##0.0_);_(* \(#,##0.0\);_(* &quot;-&quot;??_);_(@_)"/>
    <numFmt numFmtId="169" formatCode="#,##0.0"/>
    <numFmt numFmtId="170" formatCode="mm/dd/yyyy"/>
    <numFmt numFmtId="171" formatCode="0\-0"/>
    <numFmt numFmtId="172" formatCode="_(* #,##0_);_(* \(#,##0\);_(* &quot;-&quot;_);_(@_)"/>
    <numFmt numFmtId="173" formatCode="_(* #,##0.00_);_(* \(#,##0.00\);_(* &quot;-&quot;??_);_(@_)"/>
    <numFmt numFmtId="174" formatCode="_-* #,##0.0_-;\-* #,##0.0_-;_-* &quot;-&quot;??_-;_-@_-"/>
    <numFmt numFmtId="175" formatCode="_(&quot;$&quot;* #,##0_);_(&quot;$&quot;* \(#,##0\);_(&quot;$&quot;* &quot;-&quot;??_);_(@_)"/>
    <numFmt numFmtId="176" formatCode="&quot;$&quot;#,##0.00_);[Red]\(&quot;$&quot;#,##0.00\)"/>
    <numFmt numFmtId="177" formatCode="_(&quot;$&quot;* #,##0_);_(&quot;$&quot;* \(#,##0\);_(&quot;$&quot;* &quot;-&quot;_);_(@_)"/>
    <numFmt numFmtId="178" formatCode="_(&quot;$&quot;* #,##0.00_);_(&quot;$&quot;* \(#,##0.00\);_(&quot;$&quot;* &quot;-&quot;??_);_(@_)"/>
    <numFmt numFmtId="179" formatCode="&quot;$&quot;#,##0.00_);\(&quot;$&quot;#,##0.00\)"/>
    <numFmt numFmtId="180" formatCode="_(* #,##0_);_(* \(#,##0\);_(* &quot;-&quot;??_);_(@_)"/>
    <numFmt numFmtId="181" formatCode="&quot;$&quot;#,##0_);\(&quot;$&quot;#,##0\)"/>
    <numFmt numFmtId="182" formatCode="##\-#"/>
    <numFmt numFmtId="183" formatCode="&quot;£ &quot;#,##0.00;[Red]\-&quot;£ &quot;#,##0.00"/>
    <numFmt numFmtId="184" formatCode="_-* #,##0.00000_-;\-* #,##0.00000_-;_-* &quot;-&quot;??_-;_-@_-"/>
    <numFmt numFmtId="185" formatCode="0.0"/>
    <numFmt numFmtId="186" formatCode="_-* #,##0.0000_-;\-* #,##0.0000_-;_-* &quot;-&quot;??_-;_-@_-"/>
    <numFmt numFmtId="187" formatCode="0.00000"/>
    <numFmt numFmtId="188" formatCode="0.000000"/>
    <numFmt numFmtId="189" formatCode="0.000"/>
    <numFmt numFmtId="190" formatCode="0.0000"/>
    <numFmt numFmtId="191" formatCode="_-&quot;$&quot;* #,##0.000000_-;\-&quot;$&quot;* #,##0.000000_-;_-&quot;$&quot;* &quot;-&quot;??_-;_-@_-"/>
  </numFmts>
  <fonts count="8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ahoma"/>
      <family val="2"/>
    </font>
    <font>
      <sz val="10"/>
      <name val="Arial"/>
      <family val="2"/>
    </font>
    <font>
      <sz val="16"/>
      <color indexed="12"/>
      <name val="Algerian"/>
      <family val="5"/>
    </font>
    <font>
      <b/>
      <sz val="10"/>
      <name val="Arial"/>
      <family val="2"/>
    </font>
    <font>
      <sz val="8"/>
      <name val="Arial"/>
      <family val="2"/>
    </font>
    <font>
      <sz val="14"/>
      <name val="Arial"/>
      <family val="2"/>
    </font>
    <font>
      <b/>
      <sz val="12"/>
      <name val="Arial"/>
      <family val="2"/>
    </font>
    <font>
      <b/>
      <sz val="14"/>
      <name val="Arial"/>
      <family val="2"/>
    </font>
    <font>
      <sz val="12"/>
      <name val="Arial"/>
      <family val="2"/>
    </font>
    <font>
      <sz val="10"/>
      <color rgb="FFFF0000"/>
      <name val="Arial"/>
      <family val="2"/>
    </font>
    <font>
      <b/>
      <sz val="10"/>
      <color indexed="81"/>
      <name val="Arial"/>
      <family val="2"/>
    </font>
    <font>
      <b/>
      <sz val="8"/>
      <color indexed="81"/>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11"/>
      <color theme="1"/>
      <name val="Helvetica"/>
      <family val="2"/>
    </font>
    <font>
      <sz val="11"/>
      <color theme="1"/>
      <name val="Helvetica"/>
      <family val="2"/>
    </font>
    <font>
      <sz val="11"/>
      <name val="Helvetica"/>
      <family val="2"/>
    </font>
    <font>
      <sz val="11"/>
      <color theme="9" tint="-0.249977111117893"/>
      <name val="Helvetica"/>
      <family val="2"/>
    </font>
    <font>
      <b/>
      <sz val="11"/>
      <color theme="1"/>
      <name val="Helvetica"/>
      <family val="2"/>
    </font>
    <font>
      <sz val="11"/>
      <name val="Calibri"/>
      <family val="2"/>
      <scheme val="minor"/>
    </font>
    <font>
      <b/>
      <sz val="10"/>
      <color rgb="FFFF0000"/>
      <name val="Arial"/>
      <family val="2"/>
    </font>
    <font>
      <b/>
      <sz val="11"/>
      <name val="Calibri"/>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
      <patternFill patternType="solid">
        <fgColor theme="6" tint="0.39997558519241921"/>
        <bgColor indexed="64"/>
      </patternFill>
    </fill>
    <fill>
      <patternFill patternType="solid">
        <fgColor rgb="FFFFFF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6657">
    <xf numFmtId="0" fontId="0" fillId="0" borderId="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23" fillId="0" borderId="0"/>
    <xf numFmtId="168" fontId="23" fillId="0" borderId="0"/>
    <xf numFmtId="168" fontId="23" fillId="0" borderId="0"/>
    <xf numFmtId="168" fontId="23" fillId="0" borderId="0"/>
    <xf numFmtId="168" fontId="23" fillId="0" borderId="0"/>
    <xf numFmtId="169" fontId="23" fillId="0" borderId="0"/>
    <xf numFmtId="169" fontId="23" fillId="0" borderId="0"/>
    <xf numFmtId="169" fontId="23" fillId="0" borderId="0"/>
    <xf numFmtId="169" fontId="23" fillId="0" borderId="0"/>
    <xf numFmtId="168" fontId="23" fillId="0" borderId="0"/>
    <xf numFmtId="168" fontId="23" fillId="0" borderId="0"/>
    <xf numFmtId="168" fontId="23" fillId="0" borderId="0"/>
    <xf numFmtId="168" fontId="23" fillId="0" borderId="0"/>
    <xf numFmtId="170" fontId="23" fillId="0" borderId="0"/>
    <xf numFmtId="170" fontId="23" fillId="0" borderId="0"/>
    <xf numFmtId="170" fontId="23" fillId="0" borderId="0"/>
    <xf numFmtId="170" fontId="23" fillId="0" borderId="0"/>
    <xf numFmtId="171" fontId="23" fillId="0" borderId="0"/>
    <xf numFmtId="171" fontId="23" fillId="0" borderId="0"/>
    <xf numFmtId="171" fontId="23" fillId="0" borderId="0"/>
    <xf numFmtId="171" fontId="23" fillId="0" borderId="0"/>
    <xf numFmtId="170" fontId="23" fillId="0" borderId="0"/>
    <xf numFmtId="0" fontId="5" fillId="1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 fillId="10" borderId="0" applyNumberFormat="0" applyBorder="0" applyAlignment="0" applyProtection="0"/>
    <xf numFmtId="0" fontId="34" fillId="40" borderId="0" applyNumberFormat="0" applyBorder="0" applyAlignment="0" applyProtection="0"/>
    <xf numFmtId="0" fontId="5" fillId="1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5" fillId="40" borderId="0" applyNumberFormat="0" applyBorder="0" applyAlignment="0" applyProtection="0"/>
    <xf numFmtId="0" fontId="5"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 fillId="14" borderId="0" applyNumberFormat="0" applyBorder="0" applyAlignment="0" applyProtection="0"/>
    <xf numFmtId="0" fontId="34" fillId="41" borderId="0" applyNumberFormat="0" applyBorder="0" applyAlignment="0" applyProtection="0"/>
    <xf numFmtId="0" fontId="5"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41" borderId="0" applyNumberFormat="0" applyBorder="0" applyAlignment="0" applyProtection="0"/>
    <xf numFmtId="0" fontId="5" fillId="1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 fillId="18" borderId="0" applyNumberFormat="0" applyBorder="0" applyAlignment="0" applyProtection="0"/>
    <xf numFmtId="0" fontId="34" fillId="42" borderId="0" applyNumberFormat="0" applyBorder="0" applyAlignment="0" applyProtection="0"/>
    <xf numFmtId="0" fontId="5" fillId="1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2" borderId="0" applyNumberFormat="0" applyBorder="0" applyAlignment="0" applyProtection="0"/>
    <xf numFmtId="0" fontId="5" fillId="2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 fillId="22" borderId="0" applyNumberFormat="0" applyBorder="0" applyAlignment="0" applyProtection="0"/>
    <xf numFmtId="0" fontId="34" fillId="43" borderId="0" applyNumberFormat="0" applyBorder="0" applyAlignment="0" applyProtection="0"/>
    <xf numFmtId="0" fontId="5" fillId="2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5" fillId="4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5" fillId="4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 fillId="30" borderId="0" applyNumberFormat="0" applyBorder="0" applyAlignment="0" applyProtection="0"/>
    <xf numFmtId="0" fontId="34" fillId="45" borderId="0" applyNumberFormat="0" applyBorder="0" applyAlignment="0" applyProtection="0"/>
    <xf numFmtId="0" fontId="5" fillId="3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 fillId="11" borderId="0" applyNumberFormat="0" applyBorder="0" applyAlignment="0" applyProtection="0"/>
    <xf numFmtId="0" fontId="34" fillId="46" borderId="0" applyNumberFormat="0" applyBorder="0" applyAlignment="0" applyProtection="0"/>
    <xf numFmtId="0" fontId="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5" fillId="47"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5" fillId="19" borderId="0" applyNumberFormat="0" applyBorder="0" applyAlignment="0" applyProtection="0"/>
    <xf numFmtId="0" fontId="34" fillId="48" borderId="0" applyNumberFormat="0" applyBorder="0" applyAlignment="0" applyProtection="0"/>
    <xf numFmtId="0" fontId="5" fillId="1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5" fillId="2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 fillId="23" borderId="0" applyNumberFormat="0" applyBorder="0" applyAlignment="0" applyProtection="0"/>
    <xf numFmtId="0" fontId="34" fillId="43" borderId="0" applyNumberFormat="0" applyBorder="0" applyAlignment="0" applyProtection="0"/>
    <xf numFmtId="0" fontId="5" fillId="2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5" fillId="43" borderId="0" applyNumberFormat="0" applyBorder="0" applyAlignment="0" applyProtection="0"/>
    <xf numFmtId="0" fontId="5" fillId="2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 fillId="27" borderId="0" applyNumberFormat="0" applyBorder="0" applyAlignment="0" applyProtection="0"/>
    <xf numFmtId="0" fontId="34" fillId="46" borderId="0" applyNumberFormat="0" applyBorder="0" applyAlignment="0" applyProtection="0"/>
    <xf numFmtId="0" fontId="5" fillId="2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5" fillId="31"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5" fillId="31" borderId="0" applyNumberFormat="0" applyBorder="0" applyAlignment="0" applyProtection="0"/>
    <xf numFmtId="0" fontId="34" fillId="49" borderId="0" applyNumberFormat="0" applyBorder="0" applyAlignment="0" applyProtection="0"/>
    <xf numFmtId="0" fontId="5" fillId="31"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7" fillId="50"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7" fillId="47"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51"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5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5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7" fillId="54"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7" fillId="5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7" fillId="5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5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37" fillId="52"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7" fillId="57" borderId="0" applyNumberFormat="0" applyBorder="0" applyAlignment="0" applyProtection="0"/>
    <xf numFmtId="0" fontId="11" fillId="3" borderId="0" applyNumberFormat="0" applyBorder="0" applyAlignment="0" applyProtection="0"/>
    <xf numFmtId="0" fontId="38" fillId="41" borderId="0" applyNumberFormat="0" applyBorder="0" applyAlignment="0" applyProtection="0"/>
    <xf numFmtId="0" fontId="11"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8" fillId="41"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15" fillId="6"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1" fillId="58" borderId="30" applyNumberFormat="0" applyAlignment="0" applyProtection="0"/>
    <xf numFmtId="0" fontId="41" fillId="58" borderId="30" applyNumberFormat="0" applyAlignment="0" applyProtection="0"/>
    <xf numFmtId="0" fontId="15" fillId="6"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1" fillId="58" borderId="30" applyNumberFormat="0" applyAlignment="0" applyProtection="0"/>
    <xf numFmtId="0" fontId="41" fillId="58" borderId="30" applyNumberFormat="0" applyAlignment="0" applyProtection="0"/>
    <xf numFmtId="0" fontId="41" fillId="58" borderId="30" applyNumberFormat="0" applyAlignment="0" applyProtection="0"/>
    <xf numFmtId="0" fontId="17" fillId="7" borderId="7" applyNumberFormat="0" applyAlignment="0" applyProtection="0"/>
    <xf numFmtId="0" fontId="17" fillId="7" borderId="7" applyNumberFormat="0" applyAlignment="0" applyProtection="0"/>
    <xf numFmtId="0" fontId="42" fillId="59" borderId="31" applyNumberFormat="0" applyAlignment="0" applyProtection="0"/>
    <xf numFmtId="41" fontId="23" fillId="0" borderId="0">
      <alignment vertical="center"/>
    </xf>
    <xf numFmtId="41" fontId="23" fillId="0" borderId="0">
      <alignment vertical="center"/>
    </xf>
    <xf numFmtId="41" fontId="23" fillId="0" borderId="0">
      <alignment vertical="center"/>
    </xf>
    <xf numFmtId="172" fontId="23" fillId="0" borderId="0">
      <alignment vertical="center"/>
    </xf>
    <xf numFmtId="172" fontId="23" fillId="0" borderId="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1" fontId="23" fillId="0" borderId="0">
      <alignment vertical="center"/>
    </xf>
    <xf numFmtId="41" fontId="23" fillId="0" borderId="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1" fontId="23" fillId="0" borderId="0">
      <alignment vertical="center"/>
    </xf>
    <xf numFmtId="41" fontId="23" fillId="0" borderId="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23" fillId="0" borderId="0">
      <alignment vertical="center"/>
    </xf>
    <xf numFmtId="172" fontId="23" fillId="0" borderId="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23" fillId="0" borderId="0">
      <alignment vertical="center"/>
    </xf>
    <xf numFmtId="172" fontId="23" fillId="0" borderId="0">
      <alignment vertical="center"/>
    </xf>
    <xf numFmtId="172" fontId="23" fillId="0" borderId="0">
      <alignment vertical="center"/>
    </xf>
    <xf numFmtId="172" fontId="23" fillId="0" borderId="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23" fillId="0" borderId="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lignment vertical="center"/>
    </xf>
    <xf numFmtId="41" fontId="23" fillId="0" borderId="0">
      <alignment vertical="center"/>
    </xf>
    <xf numFmtId="172" fontId="23" fillId="0" borderId="0">
      <alignment vertical="center"/>
    </xf>
    <xf numFmtId="172" fontId="23" fillId="0" borderId="0">
      <alignment vertical="center"/>
    </xf>
    <xf numFmtId="172" fontId="43" fillId="0" borderId="0" applyFont="0" applyFill="0" applyBorder="0" applyAlignment="0" applyProtection="0"/>
    <xf numFmtId="172" fontId="43" fillId="0" borderId="0" applyFont="0" applyFill="0" applyBorder="0" applyAlignment="0" applyProtection="0"/>
    <xf numFmtId="172" fontId="23" fillId="0" borderId="0">
      <alignment vertical="center"/>
    </xf>
    <xf numFmtId="172" fontId="23" fillId="0" borderId="0">
      <alignment vertical="center"/>
    </xf>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1" fontId="23" fillId="0" borderId="0">
      <alignment vertical="center"/>
    </xf>
    <xf numFmtId="41" fontId="23" fillId="0" borderId="0">
      <alignment vertical="center"/>
    </xf>
    <xf numFmtId="172" fontId="23" fillId="0" borderId="0">
      <alignment vertical="center"/>
    </xf>
    <xf numFmtId="172" fontId="23" fillId="0" borderId="0">
      <alignment vertical="center"/>
    </xf>
    <xf numFmtId="41" fontId="23" fillId="0" borderId="0">
      <alignment vertical="center"/>
    </xf>
    <xf numFmtId="41" fontId="23" fillId="0" borderId="0">
      <alignment vertical="center"/>
    </xf>
    <xf numFmtId="172" fontId="23" fillId="0" borderId="0">
      <alignment vertical="center"/>
    </xf>
    <xf numFmtId="41" fontId="23" fillId="0" borderId="0">
      <alignment vertical="center"/>
    </xf>
    <xf numFmtId="41" fontId="23" fillId="0" borderId="0">
      <alignment vertical="center"/>
    </xf>
    <xf numFmtId="41" fontId="23" fillId="0" borderId="0">
      <alignment vertical="center"/>
    </xf>
    <xf numFmtId="41" fontId="23" fillId="0" borderId="0">
      <alignment vertical="center"/>
    </xf>
    <xf numFmtId="172" fontId="23" fillId="0" borderId="0">
      <alignment vertical="center"/>
    </xf>
    <xf numFmtId="172" fontId="23" fillId="0" borderId="0">
      <alignment vertical="center"/>
    </xf>
    <xf numFmtId="172" fontId="23" fillId="0" borderId="0">
      <alignment vertical="center"/>
    </xf>
    <xf numFmtId="172" fontId="23" fillId="0" borderId="0">
      <alignment vertical="center"/>
    </xf>
    <xf numFmtId="41" fontId="23" fillId="0" borderId="0">
      <alignment vertical="center"/>
    </xf>
    <xf numFmtId="41" fontId="23" fillId="0" borderId="0">
      <alignment vertical="center"/>
    </xf>
    <xf numFmtId="172" fontId="23" fillId="0" borderId="0">
      <alignment vertical="center"/>
    </xf>
    <xf numFmtId="41" fontId="23" fillId="0" borderId="0">
      <alignment vertical="center"/>
    </xf>
    <xf numFmtId="41" fontId="23" fillId="0" borderId="0">
      <alignment vertical="center"/>
    </xf>
    <xf numFmtId="172" fontId="23" fillId="0" borderId="0">
      <alignment vertical="center"/>
    </xf>
    <xf numFmtId="172" fontId="23" fillId="0" borderId="0">
      <alignment vertical="center"/>
    </xf>
    <xf numFmtId="172" fontId="23" fillId="0" borderId="0">
      <alignment vertical="center"/>
    </xf>
    <xf numFmtId="172" fontId="23" fillId="0" borderId="0">
      <alignment vertical="center"/>
    </xf>
    <xf numFmtId="172" fontId="23" fillId="0" borderId="0">
      <alignment vertical="center"/>
    </xf>
    <xf numFmtId="173" fontId="23" fillId="0" borderId="0">
      <alignment vertical="center"/>
    </xf>
    <xf numFmtId="173" fontId="2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4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17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34"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49" fontId="45" fillId="60" borderId="32" applyAlignment="0" applyProtection="0"/>
    <xf numFmtId="43" fontId="43" fillId="0" borderId="0" applyFont="0" applyFill="0" applyBorder="0" applyAlignment="0" applyProtection="0"/>
    <xf numFmtId="49" fontId="45" fillId="60" borderId="32"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68" fontId="34"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3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9" fontId="45" fillId="60" borderId="32"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68"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lignment vertical="center"/>
    </xf>
    <xf numFmtId="43" fontId="23" fillId="0" borderId="0">
      <alignment vertical="center"/>
    </xf>
    <xf numFmtId="43" fontId="23" fillId="0" borderId="0" applyFont="0" applyFill="0" applyBorder="0" applyAlignment="0" applyProtection="0"/>
    <xf numFmtId="43" fontId="23"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23" fillId="0" borderId="0">
      <alignment vertical="center"/>
    </xf>
    <xf numFmtId="4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34"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5" fillId="0" borderId="0" applyFont="0" applyFill="0" applyBorder="0" applyAlignment="0" applyProtection="0"/>
    <xf numFmtId="173" fontId="23" fillId="0" borderId="0">
      <alignment vertical="center"/>
    </xf>
    <xf numFmtId="173" fontId="23" fillId="0" borderId="0">
      <alignment vertical="center"/>
    </xf>
    <xf numFmtId="43" fontId="5" fillId="0" borderId="0" applyFont="0" applyFill="0" applyBorder="0" applyAlignment="0" applyProtection="0"/>
    <xf numFmtId="173" fontId="23" fillId="0" borderId="0">
      <alignment vertical="center"/>
    </xf>
    <xf numFmtId="173" fontId="23" fillId="0" borderId="0">
      <alignment vertical="center"/>
    </xf>
    <xf numFmtId="43" fontId="5"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3"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lignment vertical="center"/>
    </xf>
    <xf numFmtId="173" fontId="44" fillId="0" borderId="0" applyFont="0" applyFill="0" applyBorder="0" applyAlignment="0" applyProtection="0"/>
    <xf numFmtId="173" fontId="23" fillId="0" borderId="0">
      <alignment vertical="center"/>
    </xf>
    <xf numFmtId="173" fontId="23" fillId="0" borderId="0">
      <alignment vertical="center"/>
    </xf>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23" fillId="0" borderId="0">
      <alignment vertical="center"/>
    </xf>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23"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5"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5" fontId="23" fillId="0" borderId="0" applyFont="0" applyFill="0" applyBorder="0" applyAlignment="0" applyProtection="0"/>
    <xf numFmtId="43" fontId="5"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23" fillId="0" borderId="0">
      <alignment vertical="center"/>
    </xf>
    <xf numFmtId="174" fontId="23" fillId="0" borderId="0" applyFont="0" applyFill="0" applyBorder="0" applyAlignment="0" applyProtection="0"/>
    <xf numFmtId="43" fontId="23" fillId="0" borderId="0">
      <alignment vertical="center"/>
    </xf>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3"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43" fontId="23" fillId="0" borderId="0" applyFont="0" applyFill="0" applyBorder="0" applyAlignment="0" applyProtection="0"/>
    <xf numFmtId="43"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3"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43" fontId="43" fillId="0" borderId="0" applyFont="0" applyFill="0" applyBorder="0" applyAlignment="0" applyProtection="0"/>
    <xf numFmtId="173" fontId="23" fillId="0" borderId="0">
      <alignment vertical="center"/>
    </xf>
    <xf numFmtId="173" fontId="23" fillId="0" borderId="0">
      <alignment vertical="center"/>
    </xf>
    <xf numFmtId="43" fontId="47" fillId="0" borderId="0" applyFont="0" applyFill="0" applyBorder="0" applyAlignment="0" applyProtection="0"/>
    <xf numFmtId="174"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173" fontId="23" fillId="0" borderId="0">
      <alignment vertical="center"/>
    </xf>
    <xf numFmtId="43" fontId="5"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173" fontId="4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173" fontId="23" fillId="0" borderId="0">
      <alignment vertical="center"/>
    </xf>
    <xf numFmtId="43" fontId="5"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44"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23" fillId="0" borderId="0">
      <alignment vertical="center"/>
    </xf>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3"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6"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3" fontId="46" fillId="0" borderId="0" applyFont="0" applyFill="0" applyBorder="0" applyAlignment="0" applyProtection="0"/>
    <xf numFmtId="17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lignment vertical="center"/>
    </xf>
    <xf numFmtId="173" fontId="23" fillId="0" borderId="0">
      <alignment vertical="center"/>
    </xf>
    <xf numFmtId="176"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68" fontId="34"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168" fontId="34" fillId="0" borderId="0" applyFont="0" applyFill="0" applyBorder="0" applyAlignment="0" applyProtection="0"/>
    <xf numFmtId="173" fontId="34" fillId="0" borderId="0" applyFont="0" applyFill="0" applyBorder="0" applyAlignment="0" applyProtection="0"/>
    <xf numFmtId="173" fontId="43" fillId="0" borderId="0" applyFont="0" applyFill="0" applyBorder="0" applyAlignment="0" applyProtection="0"/>
    <xf numFmtId="173" fontId="23" fillId="0" borderId="0">
      <alignment vertical="center"/>
    </xf>
    <xf numFmtId="173" fontId="23" fillId="0" borderId="0">
      <alignment vertical="center"/>
    </xf>
    <xf numFmtId="173" fontId="34" fillId="0" borderId="0" applyFont="0" applyFill="0" applyBorder="0" applyAlignment="0" applyProtection="0"/>
    <xf numFmtId="173" fontId="23" fillId="0" borderId="0">
      <alignment vertical="center"/>
    </xf>
    <xf numFmtId="173" fontId="43" fillId="0" borderId="0" applyFont="0" applyFill="0" applyBorder="0" applyAlignment="0" applyProtection="0"/>
    <xf numFmtId="173" fontId="34" fillId="0" borderId="0" applyFont="0" applyFill="0" applyBorder="0" applyAlignment="0" applyProtection="0"/>
    <xf numFmtId="173" fontId="4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3"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6" fontId="23" fillId="0" borderId="0" applyFont="0" applyFill="0" applyBorder="0" applyAlignment="0" applyProtection="0"/>
    <xf numFmtId="43" fontId="23" fillId="0" borderId="0">
      <alignment vertical="center"/>
    </xf>
    <xf numFmtId="43" fontId="23" fillId="0" borderId="0">
      <alignment vertical="center"/>
    </xf>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23" fillId="0" borderId="0">
      <alignment vertical="center"/>
    </xf>
    <xf numFmtId="4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6" fontId="23" fillId="0" borderId="0" applyFont="0" applyFill="0" applyBorder="0" applyAlignment="0" applyProtection="0"/>
    <xf numFmtId="43" fontId="23" fillId="0" borderId="0">
      <alignment vertical="center"/>
    </xf>
    <xf numFmtId="43" fontId="23" fillId="0" borderId="0">
      <alignment vertical="center"/>
    </xf>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173" fontId="44"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173" fontId="44"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173" fontId="44"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173" fontId="23" fillId="0" borderId="0" applyFont="0" applyFill="0" applyBorder="0" applyAlignment="0" applyProtection="0"/>
    <xf numFmtId="173" fontId="44"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173" fontId="23" fillId="0" borderId="0" applyFont="0" applyFill="0" applyBorder="0" applyAlignment="0" applyProtection="0"/>
    <xf numFmtId="4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44" fillId="0" borderId="0" applyFont="0" applyFill="0" applyBorder="0" applyAlignment="0" applyProtection="0"/>
    <xf numFmtId="43" fontId="23" fillId="0" borderId="0">
      <alignment vertical="center"/>
    </xf>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3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5"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5"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5" fillId="0" borderId="0" applyFont="0" applyFill="0" applyBorder="0" applyAlignment="0" applyProtection="0"/>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43" fillId="0" borderId="0" applyFont="0" applyFill="0" applyBorder="0" applyAlignment="0" applyProtection="0"/>
    <xf numFmtId="173" fontId="2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43" fillId="0" borderId="0" applyFont="0" applyFill="0" applyBorder="0" applyAlignment="0" applyProtection="0"/>
    <xf numFmtId="173" fontId="23" fillId="0" borderId="0" applyFont="0" applyFill="0" applyBorder="0" applyAlignment="0" applyProtection="0"/>
    <xf numFmtId="173" fontId="44" fillId="0" borderId="0" applyFont="0" applyFill="0" applyBorder="0" applyAlignment="0" applyProtection="0"/>
    <xf numFmtId="173" fontId="43" fillId="0" borderId="0" applyFont="0" applyFill="0" applyBorder="0" applyAlignment="0" applyProtection="0"/>
    <xf numFmtId="173" fontId="4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42" fontId="23" fillId="0" borderId="0">
      <alignment vertical="center"/>
    </xf>
    <xf numFmtId="42" fontId="23" fillId="0" borderId="0">
      <alignment vertical="center"/>
    </xf>
    <xf numFmtId="42"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42" fontId="23" fillId="0" borderId="0">
      <alignment vertical="center"/>
    </xf>
    <xf numFmtId="42"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42" fontId="23" fillId="0" borderId="0">
      <alignment vertical="center"/>
    </xf>
    <xf numFmtId="42" fontId="23" fillId="0" borderId="0">
      <alignment vertical="center"/>
    </xf>
    <xf numFmtId="42" fontId="23" fillId="0" borderId="0">
      <alignment vertical="center"/>
    </xf>
    <xf numFmtId="42" fontId="23" fillId="0" borderId="0">
      <alignment vertical="center"/>
    </xf>
    <xf numFmtId="42" fontId="23" fillId="0" borderId="0">
      <alignment vertical="center"/>
    </xf>
    <xf numFmtId="177" fontId="23" fillId="0" borderId="0">
      <alignment vertical="center"/>
    </xf>
    <xf numFmtId="177" fontId="23" fillId="0" borderId="0">
      <alignment vertical="center"/>
    </xf>
    <xf numFmtId="42" fontId="23" fillId="0" borderId="0">
      <alignment vertical="center"/>
    </xf>
    <xf numFmtId="42" fontId="23" fillId="0" borderId="0">
      <alignment vertical="center"/>
    </xf>
    <xf numFmtId="177" fontId="23" fillId="0" borderId="0">
      <alignment vertical="center"/>
    </xf>
    <xf numFmtId="177" fontId="23" fillId="0" borderId="0">
      <alignment vertical="center"/>
    </xf>
    <xf numFmtId="42" fontId="23" fillId="0" borderId="0">
      <alignment vertical="center"/>
    </xf>
    <xf numFmtId="177" fontId="23" fillId="0" borderId="0">
      <alignment vertical="center"/>
    </xf>
    <xf numFmtId="177" fontId="23" fillId="0" borderId="0">
      <alignment vertical="center"/>
    </xf>
    <xf numFmtId="177" fontId="23" fillId="0" borderId="0">
      <alignment vertical="center"/>
    </xf>
    <xf numFmtId="42" fontId="23" fillId="0" borderId="0">
      <alignment vertical="center"/>
    </xf>
    <xf numFmtId="42" fontId="23" fillId="0" borderId="0">
      <alignment vertical="center"/>
    </xf>
    <xf numFmtId="177" fontId="23" fillId="0" borderId="0">
      <alignment vertical="center"/>
    </xf>
    <xf numFmtId="177" fontId="23" fillId="0" borderId="0">
      <alignment vertical="center"/>
    </xf>
    <xf numFmtId="42" fontId="23" fillId="0" borderId="0">
      <alignment vertical="center"/>
    </xf>
    <xf numFmtId="42"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178"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44" fontId="23" fillId="0" borderId="0">
      <alignment vertical="center"/>
    </xf>
    <xf numFmtId="44" fontId="23" fillId="0" borderId="0">
      <alignment vertical="center"/>
    </xf>
    <xf numFmtId="179"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44" fontId="23" fillId="0" borderId="0">
      <alignment vertical="center"/>
    </xf>
    <xf numFmtId="44" fontId="23" fillId="0" borderId="0">
      <alignment vertical="center"/>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80"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lignment vertical="center"/>
    </xf>
    <xf numFmtId="178" fontId="23"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44" fontId="23" fillId="0" borderId="0">
      <alignment vertical="center"/>
    </xf>
    <xf numFmtId="44" fontId="23" fillId="0" borderId="0">
      <alignment vertical="center"/>
    </xf>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lignment vertical="center"/>
    </xf>
    <xf numFmtId="44" fontId="5" fillId="0" borderId="0" applyFont="0" applyFill="0" applyBorder="0" applyAlignment="0" applyProtection="0"/>
    <xf numFmtId="44" fontId="23" fillId="0" borderId="0" applyFont="0" applyFill="0" applyBorder="0" applyAlignment="0" applyProtection="0"/>
    <xf numFmtId="44" fontId="23" fillId="0" borderId="0">
      <alignmen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lignment vertical="center"/>
    </xf>
    <xf numFmtId="179" fontId="23" fillId="0" borderId="0" applyFont="0" applyFill="0" applyBorder="0" applyAlignment="0" applyProtection="0"/>
    <xf numFmtId="44" fontId="23" fillId="0" borderId="0">
      <alignment vertical="center"/>
    </xf>
    <xf numFmtId="44" fontId="23" fillId="0" borderId="0">
      <alignment vertical="center"/>
    </xf>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lignment vertical="center"/>
    </xf>
    <xf numFmtId="178" fontId="23" fillId="0" borderId="0">
      <alignment vertical="center"/>
    </xf>
    <xf numFmtId="179" fontId="23" fillId="0" borderId="0" applyFont="0" applyFill="0" applyBorder="0" applyAlignment="0" applyProtection="0"/>
    <xf numFmtId="44" fontId="23" fillId="0" borderId="0">
      <alignment vertical="center"/>
    </xf>
    <xf numFmtId="44" fontId="23" fillId="0" borderId="0">
      <alignment vertical="center"/>
    </xf>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178"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4" fontId="23" fillId="0" borderId="0" applyFont="0" applyFill="0" applyBorder="0" applyAlignment="0" applyProtection="0"/>
    <xf numFmtId="15" fontId="23" fillId="0" borderId="0"/>
    <xf numFmtId="15" fontId="23" fillId="0" borderId="0"/>
    <xf numFmtId="15" fontId="23" fillId="0" borderId="0"/>
    <xf numFmtId="15" fontId="23" fillId="0" borderId="0"/>
    <xf numFmtId="15" fontId="23" fillId="0" borderId="0"/>
    <xf numFmtId="15" fontId="23" fillId="0" borderId="0"/>
    <xf numFmtId="15" fontId="23" fillId="0" borderId="0"/>
    <xf numFmtId="14" fontId="23" fillId="0" borderId="0" applyFont="0" applyFill="0" applyBorder="0" applyAlignment="0" applyProtection="0"/>
    <xf numFmtId="15" fontId="23" fillId="0" borderId="0"/>
    <xf numFmtId="0" fontId="19" fillId="0" borderId="0" applyNumberFormat="0" applyFill="0" applyBorder="0" applyAlignment="0" applyProtection="0"/>
    <xf numFmtId="0" fontId="19" fillId="0" borderId="0" applyNumberFormat="0" applyFill="0" applyBorder="0" applyAlignment="0" applyProtection="0"/>
    <xf numFmtId="0" fontId="48" fillId="0" borderId="0" applyNumberForma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0" fontId="10" fillId="2" borderId="0" applyNumberFormat="0" applyBorder="0" applyAlignment="0" applyProtection="0"/>
    <xf numFmtId="0" fontId="49" fillId="42" borderId="0" applyNumberFormat="0" applyBorder="0" applyAlignment="0" applyProtection="0"/>
    <xf numFmtId="0" fontId="10" fillId="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2" borderId="0" applyNumberFormat="0" applyBorder="0" applyAlignment="0" applyProtection="0"/>
    <xf numFmtId="0" fontId="50" fillId="4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49" fillId="42" borderId="0" applyNumberFormat="0" applyBorder="0" applyAlignment="0" applyProtection="0"/>
    <xf numFmtId="38" fontId="26" fillId="60" borderId="0" applyNumberFormat="0" applyBorder="0" applyAlignment="0" applyProtection="0"/>
    <xf numFmtId="0" fontId="7" fillId="0" borderId="1"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7" fillId="0" borderId="1"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2" fillId="0" borderId="33" applyNumberFormat="0" applyFill="0" applyAlignment="0" applyProtection="0"/>
    <xf numFmtId="0" fontId="8" fillId="0" borderId="2"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8" fillId="0" borderId="2"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4" fillId="0" borderId="34" applyNumberFormat="0" applyFill="0" applyAlignment="0" applyProtection="0"/>
    <xf numFmtId="0" fontId="9" fillId="0" borderId="3"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9" fillId="0" borderId="3"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6" fillId="0" borderId="35" applyNumberFormat="0" applyFill="0" applyAlignment="0" applyProtection="0"/>
    <xf numFmtId="0" fontId="9"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0" fontId="13" fillId="5" borderId="4" applyNumberFormat="0" applyAlignment="0" applyProtection="0"/>
    <xf numFmtId="0" fontId="58" fillId="45" borderId="30" applyNumberFormat="0" applyAlignment="0" applyProtection="0"/>
    <xf numFmtId="0" fontId="58" fillId="45" borderId="30" applyNumberFormat="0" applyAlignment="0" applyProtection="0"/>
    <xf numFmtId="0" fontId="58" fillId="45" borderId="30" applyNumberFormat="0" applyAlignment="0" applyProtection="0"/>
    <xf numFmtId="0" fontId="13" fillId="5" borderId="4" applyNumberFormat="0" applyAlignment="0" applyProtection="0"/>
    <xf numFmtId="0" fontId="59" fillId="45" borderId="4" applyNumberFormat="0" applyAlignment="0" applyProtection="0"/>
    <xf numFmtId="0" fontId="59" fillId="45" borderId="4" applyNumberFormat="0" applyAlignment="0" applyProtection="0"/>
    <xf numFmtId="0" fontId="59" fillId="45" borderId="4" applyNumberFormat="0" applyAlignment="0" applyProtection="0"/>
    <xf numFmtId="0" fontId="59" fillId="45" borderId="4" applyNumberFormat="0" applyAlignment="0" applyProtection="0"/>
    <xf numFmtId="0" fontId="58" fillId="45" borderId="30" applyNumberFormat="0" applyAlignment="0" applyProtection="0"/>
    <xf numFmtId="0" fontId="58" fillId="45" borderId="30" applyNumberFormat="0" applyAlignment="0" applyProtection="0"/>
    <xf numFmtId="0" fontId="58" fillId="45" borderId="30" applyNumberFormat="0" applyAlignment="0" applyProtection="0"/>
    <xf numFmtId="0" fontId="16" fillId="0" borderId="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16" fillId="0" borderId="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1" fillId="0" borderId="36" applyNumberFormat="0" applyFill="0" applyAlignment="0" applyProtection="0"/>
    <xf numFmtId="182" fontId="23" fillId="0" borderId="0"/>
    <xf numFmtId="182" fontId="23" fillId="0" borderId="0"/>
    <xf numFmtId="182" fontId="23" fillId="0" borderId="0"/>
    <xf numFmtId="182" fontId="23" fillId="0" borderId="0"/>
    <xf numFmtId="180" fontId="23" fillId="0" borderId="0"/>
    <xf numFmtId="180" fontId="23" fillId="0" borderId="0"/>
    <xf numFmtId="180" fontId="23" fillId="0" borderId="0"/>
    <xf numFmtId="180" fontId="23" fillId="0" borderId="0"/>
    <xf numFmtId="182" fontId="23" fillId="0" borderId="0"/>
    <xf numFmtId="182" fontId="23" fillId="0" borderId="0"/>
    <xf numFmtId="182" fontId="23" fillId="0" borderId="0"/>
    <xf numFmtId="182" fontId="23" fillId="0" borderId="0"/>
    <xf numFmtId="0" fontId="1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1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3" fillId="62" borderId="0" applyNumberFormat="0" applyBorder="0" applyAlignment="0" applyProtection="0"/>
    <xf numFmtId="183" fontId="23" fillId="0" borderId="0"/>
    <xf numFmtId="183" fontId="23" fillId="0" borderId="0"/>
    <xf numFmtId="183" fontId="23" fillId="0" borderId="0"/>
    <xf numFmtId="183"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43" fillId="0" borderId="0"/>
    <xf numFmtId="0" fontId="23" fillId="0" borderId="0"/>
    <xf numFmtId="0" fontId="23" fillId="0" borderId="0"/>
    <xf numFmtId="0" fontId="23" fillId="0" borderId="0"/>
    <xf numFmtId="0" fontId="5"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5" fillId="0" borderId="0"/>
    <xf numFmtId="0" fontId="23" fillId="0" borderId="0">
      <alignment vertical="center"/>
    </xf>
    <xf numFmtId="0" fontId="23" fillId="0" borderId="0">
      <alignment vertical="center"/>
    </xf>
    <xf numFmtId="0" fontId="5" fillId="0" borderId="0"/>
    <xf numFmtId="0" fontId="23" fillId="0" borderId="0"/>
    <xf numFmtId="0" fontId="23" fillId="0" borderId="0"/>
    <xf numFmtId="0" fontId="23" fillId="0" borderId="0"/>
    <xf numFmtId="0" fontId="43" fillId="0" borderId="0"/>
    <xf numFmtId="0" fontId="23" fillId="0" borderId="0"/>
    <xf numFmtId="0" fontId="5" fillId="0" borderId="0"/>
    <xf numFmtId="0" fontId="5" fillId="0" borderId="0"/>
    <xf numFmtId="0" fontId="46" fillId="0" borderId="0"/>
    <xf numFmtId="0" fontId="23" fillId="0" borderId="0">
      <alignment vertical="center"/>
    </xf>
    <xf numFmtId="0" fontId="23" fillId="0" borderId="0">
      <alignment vertical="center"/>
    </xf>
    <xf numFmtId="0" fontId="5" fillId="0" borderId="0"/>
    <xf numFmtId="0" fontId="46" fillId="0" borderId="0"/>
    <xf numFmtId="0" fontId="5" fillId="0" borderId="0"/>
    <xf numFmtId="0" fontId="5" fillId="0" borderId="0"/>
    <xf numFmtId="0" fontId="5"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34"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4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0" borderId="0"/>
    <xf numFmtId="0" fontId="34" fillId="0" borderId="0"/>
    <xf numFmtId="0" fontId="34" fillId="0" borderId="0"/>
    <xf numFmtId="0" fontId="43" fillId="0" borderId="0"/>
    <xf numFmtId="0" fontId="43" fillId="0" borderId="0"/>
    <xf numFmtId="0" fontId="34" fillId="0" borderId="0"/>
    <xf numFmtId="0" fontId="23" fillId="0" borderId="0"/>
    <xf numFmtId="0" fontId="23" fillId="0" borderId="0"/>
    <xf numFmtId="0" fontId="43" fillId="0" borderId="0"/>
    <xf numFmtId="0" fontId="43" fillId="0" borderId="0"/>
    <xf numFmtId="0" fontId="43" fillId="0" borderId="0"/>
    <xf numFmtId="0" fontId="34" fillId="0" borderId="0"/>
    <xf numFmtId="0" fontId="23" fillId="0" borderId="0"/>
    <xf numFmtId="0" fontId="23" fillId="0" borderId="0"/>
    <xf numFmtId="0" fontId="43" fillId="0" borderId="0"/>
    <xf numFmtId="0" fontId="23" fillId="0" borderId="0">
      <alignment vertical="center"/>
    </xf>
    <xf numFmtId="0" fontId="34"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43" fillId="0" borderId="0"/>
    <xf numFmtId="0" fontId="23" fillId="0" borderId="0"/>
    <xf numFmtId="0" fontId="23" fillId="0" borderId="0"/>
    <xf numFmtId="0" fontId="43" fillId="0" borderId="0"/>
    <xf numFmtId="0" fontId="43" fillId="0" borderId="0"/>
    <xf numFmtId="0" fontId="23" fillId="0" borderId="0"/>
    <xf numFmtId="0" fontId="43" fillId="0" borderId="0"/>
    <xf numFmtId="0" fontId="43" fillId="0" borderId="0"/>
    <xf numFmtId="0" fontId="43" fillId="0" borderId="0"/>
    <xf numFmtId="0" fontId="43" fillId="0" borderId="0"/>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23" fillId="0" borderId="0">
      <alignment vertical="center"/>
    </xf>
    <xf numFmtId="0" fontId="23" fillId="0" borderId="0"/>
    <xf numFmtId="0" fontId="23" fillId="0" borderId="0"/>
    <xf numFmtId="0" fontId="23" fillId="0" borderId="0">
      <alignment vertical="center"/>
    </xf>
    <xf numFmtId="0" fontId="34" fillId="0" borderId="0"/>
    <xf numFmtId="0" fontId="23" fillId="0" borderId="0">
      <alignment vertical="center"/>
    </xf>
    <xf numFmtId="0" fontId="23" fillId="0" borderId="0">
      <alignment vertical="center"/>
    </xf>
    <xf numFmtId="0" fontId="34" fillId="0" borderId="0"/>
    <xf numFmtId="0" fontId="23" fillId="0" borderId="0"/>
    <xf numFmtId="0" fontId="43" fillId="0" borderId="0"/>
    <xf numFmtId="0" fontId="23" fillId="0" borderId="0"/>
    <xf numFmtId="0" fontId="34" fillId="0" borderId="0"/>
    <xf numFmtId="0" fontId="23" fillId="0" borderId="0"/>
    <xf numFmtId="0" fontId="23"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4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4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43" fillId="0" borderId="0"/>
    <xf numFmtId="0" fontId="23" fillId="0" borderId="0"/>
    <xf numFmtId="0" fontId="23" fillId="0" borderId="0"/>
    <xf numFmtId="0" fontId="43" fillId="0" borderId="0"/>
    <xf numFmtId="0" fontId="2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3" fillId="0" borderId="0"/>
    <xf numFmtId="0" fontId="23" fillId="0" borderId="0"/>
    <xf numFmtId="0" fontId="23" fillId="0" borderId="0"/>
    <xf numFmtId="0" fontId="44" fillId="0" borderId="0"/>
    <xf numFmtId="0" fontId="44" fillId="0" borderId="0"/>
    <xf numFmtId="0" fontId="34" fillId="0" borderId="0"/>
    <xf numFmtId="0" fontId="44" fillId="0" borderId="0"/>
    <xf numFmtId="0" fontId="44" fillId="0" borderId="0"/>
    <xf numFmtId="0" fontId="44" fillId="0" borderId="0"/>
    <xf numFmtId="0" fontId="44" fillId="0" borderId="0"/>
    <xf numFmtId="0" fontId="23" fillId="0" borderId="0"/>
    <xf numFmtId="0" fontId="44" fillId="0" borderId="0"/>
    <xf numFmtId="0" fontId="23" fillId="0" borderId="0"/>
    <xf numFmtId="0" fontId="23" fillId="0" borderId="0"/>
    <xf numFmtId="0" fontId="44" fillId="0" borderId="0"/>
    <xf numFmtId="0" fontId="44" fillId="0" borderId="0"/>
    <xf numFmtId="0" fontId="44" fillId="0" borderId="0"/>
    <xf numFmtId="0" fontId="44" fillId="0" borderId="0"/>
    <xf numFmtId="0" fontId="44" fillId="0" borderId="0"/>
    <xf numFmtId="0" fontId="23"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43" fillId="0" borderId="0"/>
    <xf numFmtId="0" fontId="34" fillId="0" borderId="0"/>
    <xf numFmtId="0" fontId="23" fillId="0" borderId="0">
      <alignment vertical="center"/>
    </xf>
    <xf numFmtId="0" fontId="64" fillId="0" borderId="0">
      <alignment vertical="top"/>
    </xf>
    <xf numFmtId="0" fontId="23" fillId="0" borderId="0">
      <alignment vertical="center"/>
    </xf>
    <xf numFmtId="0" fontId="34" fillId="0" borderId="0"/>
    <xf numFmtId="0" fontId="34"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64"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44" fillId="0" borderId="0"/>
    <xf numFmtId="0" fontId="34" fillId="0" borderId="0"/>
    <xf numFmtId="0" fontId="44" fillId="0" borderId="0"/>
    <xf numFmtId="0" fontId="23" fillId="0" borderId="0">
      <alignment vertical="center"/>
    </xf>
    <xf numFmtId="0" fontId="44" fillId="0" borderId="0"/>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64" fillId="0" borderId="0">
      <alignment vertical="top"/>
    </xf>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alignment vertical="center"/>
    </xf>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4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xf numFmtId="0" fontId="34"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34"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23" fillId="0" borderId="0"/>
    <xf numFmtId="0" fontId="34" fillId="0" borderId="0"/>
    <xf numFmtId="0" fontId="23"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5"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34" fillId="0" borderId="0"/>
    <xf numFmtId="0" fontId="23" fillId="0" borderId="0">
      <alignment vertical="center"/>
    </xf>
    <xf numFmtId="0" fontId="23" fillId="0" borderId="0">
      <alignment vertical="center"/>
    </xf>
    <xf numFmtId="0" fontId="23" fillId="0" borderId="0"/>
    <xf numFmtId="0" fontId="34"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23" fillId="0" borderId="0"/>
    <xf numFmtId="0" fontId="34" fillId="0" borderId="0"/>
    <xf numFmtId="0" fontId="23" fillId="0" borderId="0">
      <alignment vertical="center"/>
    </xf>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23" fillId="0" borderId="0"/>
    <xf numFmtId="0" fontId="23" fillId="0" borderId="0"/>
    <xf numFmtId="0" fontId="34" fillId="0" borderId="0"/>
    <xf numFmtId="0" fontId="23" fillId="0" borderId="0"/>
    <xf numFmtId="0" fontId="23" fillId="0" borderId="0"/>
    <xf numFmtId="0" fontId="34" fillId="0" borderId="0"/>
    <xf numFmtId="0" fontId="23" fillId="0" borderId="0">
      <alignment vertical="center"/>
    </xf>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23" fillId="0" borderId="0"/>
    <xf numFmtId="0" fontId="23" fillId="0" borderId="0"/>
    <xf numFmtId="0" fontId="23"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23"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23" fillId="0" borderId="0"/>
    <xf numFmtId="0" fontId="23" fillId="0" borderId="0"/>
    <xf numFmtId="0" fontId="44" fillId="0" borderId="0"/>
    <xf numFmtId="0" fontId="34" fillId="0" borderId="0"/>
    <xf numFmtId="0" fontId="43" fillId="0" borderId="0"/>
    <xf numFmtId="0" fontId="44"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47" fillId="63" borderId="37"/>
    <xf numFmtId="0" fontId="23" fillId="0" borderId="0"/>
    <xf numFmtId="0" fontId="23" fillId="0" borderId="0"/>
    <xf numFmtId="0" fontId="47" fillId="63" borderId="37"/>
    <xf numFmtId="0" fontId="34" fillId="0" borderId="0"/>
    <xf numFmtId="0" fontId="43" fillId="0" borderId="0"/>
    <xf numFmtId="0" fontId="34" fillId="0" borderId="0"/>
    <xf numFmtId="0" fontId="23" fillId="0" borderId="0">
      <alignment vertical="center"/>
    </xf>
    <xf numFmtId="0" fontId="23" fillId="0" borderId="0">
      <alignment vertical="center"/>
    </xf>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 fillId="0" borderId="0"/>
    <xf numFmtId="0" fontId="23" fillId="0" borderId="0">
      <alignment vertical="center"/>
    </xf>
    <xf numFmtId="0" fontId="5" fillId="0" borderId="0"/>
    <xf numFmtId="0" fontId="23" fillId="0" borderId="0">
      <alignment vertical="center"/>
    </xf>
    <xf numFmtId="0" fontId="5" fillId="0" borderId="0"/>
    <xf numFmtId="0" fontId="23" fillId="0" borderId="0">
      <alignment vertical="center"/>
    </xf>
    <xf numFmtId="0" fontId="5"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34" fillId="0" borderId="0"/>
    <xf numFmtId="0" fontId="34" fillId="0" borderId="0"/>
    <xf numFmtId="0" fontId="23" fillId="0" borderId="0">
      <alignment vertical="center"/>
    </xf>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64"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43" fillId="0" borderId="0"/>
    <xf numFmtId="0" fontId="34" fillId="0" borderId="0"/>
    <xf numFmtId="0" fontId="34" fillId="0" borderId="0"/>
    <xf numFmtId="0" fontId="34" fillId="0" borderId="0"/>
    <xf numFmtId="0" fontId="46" fillId="0" borderId="0"/>
    <xf numFmtId="0" fontId="23" fillId="0" borderId="0">
      <alignment vertical="center"/>
    </xf>
    <xf numFmtId="0" fontId="23" fillId="0" borderId="0">
      <alignment vertical="center"/>
    </xf>
    <xf numFmtId="0" fontId="34" fillId="0" borderId="0"/>
    <xf numFmtId="0" fontId="23" fillId="0" borderId="0">
      <alignment vertical="center"/>
    </xf>
    <xf numFmtId="0" fontId="23" fillId="0" borderId="0"/>
    <xf numFmtId="0" fontId="23" fillId="0" borderId="0"/>
    <xf numFmtId="0" fontId="23" fillId="0" borderId="0">
      <alignment vertical="center"/>
    </xf>
    <xf numFmtId="0" fontId="34" fillId="0" borderId="0"/>
    <xf numFmtId="0" fontId="23" fillId="0" borderId="0"/>
    <xf numFmtId="0" fontId="23" fillId="0" borderId="0"/>
    <xf numFmtId="0" fontId="34" fillId="0" borderId="0"/>
    <xf numFmtId="0" fontId="23" fillId="0" borderId="0"/>
    <xf numFmtId="0" fontId="23" fillId="0" borderId="0"/>
    <xf numFmtId="0" fontId="64" fillId="0" borderId="0">
      <alignment vertical="top"/>
    </xf>
    <xf numFmtId="0" fontId="44"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5" fillId="0" borderId="0"/>
    <xf numFmtId="0" fontId="5"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44" fillId="0" borderId="0"/>
    <xf numFmtId="0" fontId="46" fillId="0" borderId="0"/>
    <xf numFmtId="0" fontId="44" fillId="0" borderId="0"/>
    <xf numFmtId="0" fontId="5" fillId="0" borderId="0"/>
    <xf numFmtId="0" fontId="5" fillId="0" borderId="0"/>
    <xf numFmtId="0" fontId="5" fillId="0" borderId="0"/>
    <xf numFmtId="0" fontId="5" fillId="0" borderId="0"/>
    <xf numFmtId="0" fontId="5" fillId="0" borderId="0"/>
    <xf numFmtId="0" fontId="4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34" fillId="0" borderId="0"/>
    <xf numFmtId="0" fontId="23" fillId="0" borderId="0">
      <alignment vertical="center"/>
    </xf>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5" fillId="0" borderId="0"/>
    <xf numFmtId="0" fontId="5"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5" fillId="0" borderId="0"/>
    <xf numFmtId="0" fontId="5" fillId="0" borderId="0"/>
    <xf numFmtId="0" fontId="34"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23" fillId="0" borderId="0"/>
    <xf numFmtId="0" fontId="23"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7" fillId="63" borderId="37"/>
    <xf numFmtId="0" fontId="23" fillId="0" borderId="0"/>
    <xf numFmtId="0" fontId="34" fillId="0" borderId="0"/>
    <xf numFmtId="0" fontId="34" fillId="0" borderId="0"/>
    <xf numFmtId="0" fontId="23" fillId="0" borderId="0">
      <alignment vertical="center"/>
    </xf>
    <xf numFmtId="0" fontId="23" fillId="0" borderId="0">
      <alignment vertical="center"/>
    </xf>
    <xf numFmtId="0" fontId="34" fillId="0" borderId="0"/>
    <xf numFmtId="0" fontId="34" fillId="0" borderId="0"/>
    <xf numFmtId="0" fontId="23" fillId="0" borderId="0">
      <alignment vertical="center"/>
    </xf>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23" fillId="0" borderId="0">
      <alignment vertical="center"/>
    </xf>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 fillId="0" borderId="0"/>
    <xf numFmtId="0" fontId="23" fillId="0" borderId="0">
      <alignment vertical="center"/>
    </xf>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23" fillId="0" borderId="0"/>
    <xf numFmtId="0" fontId="23" fillId="0" borderId="0"/>
    <xf numFmtId="0" fontId="34" fillId="0" borderId="0"/>
    <xf numFmtId="0" fontId="34" fillId="0" borderId="0"/>
    <xf numFmtId="0" fontId="23"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34" fillId="0" borderId="0"/>
    <xf numFmtId="0" fontId="23" fillId="0" borderId="0">
      <alignment vertical="center"/>
    </xf>
    <xf numFmtId="0" fontId="34" fillId="0" borderId="0"/>
    <xf numFmtId="0" fontId="34" fillId="0" borderId="0"/>
    <xf numFmtId="0" fontId="23" fillId="0" borderId="0">
      <alignment vertical="center"/>
    </xf>
    <xf numFmtId="0" fontId="5" fillId="0" borderId="0"/>
    <xf numFmtId="0" fontId="4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23" fillId="0" borderId="0"/>
    <xf numFmtId="0" fontId="34" fillId="0" borderId="0"/>
    <xf numFmtId="0" fontId="34" fillId="0" borderId="0"/>
    <xf numFmtId="0" fontId="23" fillId="0" borderId="0"/>
    <xf numFmtId="0" fontId="23" fillId="0" borderId="0"/>
    <xf numFmtId="0" fontId="34" fillId="0" borderId="0"/>
    <xf numFmtId="0" fontId="34" fillId="0" borderId="0"/>
    <xf numFmtId="0" fontId="23" fillId="0" borderId="0"/>
    <xf numFmtId="0" fontId="23" fillId="0" borderId="0"/>
    <xf numFmtId="0" fontId="23" fillId="0" borderId="0"/>
    <xf numFmtId="0" fontId="23" fillId="0" borderId="0"/>
    <xf numFmtId="0" fontId="34" fillId="0" borderId="0"/>
    <xf numFmtId="0" fontId="34" fillId="0" borderId="0"/>
    <xf numFmtId="0" fontId="23" fillId="0" borderId="0"/>
    <xf numFmtId="0" fontId="5" fillId="0" borderId="0"/>
    <xf numFmtId="0" fontId="34"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xf numFmtId="0" fontId="23" fillId="0" borderId="0"/>
    <xf numFmtId="0" fontId="23" fillId="0" borderId="0"/>
    <xf numFmtId="0" fontId="23" fillId="0" borderId="0"/>
    <xf numFmtId="0" fontId="34" fillId="0" borderId="0"/>
    <xf numFmtId="0" fontId="23"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23" fillId="0" borderId="0"/>
    <xf numFmtId="0" fontId="23" fillId="0" borderId="0"/>
    <xf numFmtId="0" fontId="34" fillId="0" borderId="0"/>
    <xf numFmtId="0" fontId="23"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34" fillId="0" borderId="0"/>
    <xf numFmtId="0" fontId="5" fillId="0" borderId="0"/>
    <xf numFmtId="0" fontId="5" fillId="0" borderId="0"/>
    <xf numFmtId="0" fontId="5" fillId="0" borderId="0"/>
    <xf numFmtId="0" fontId="23" fillId="0" borderId="0"/>
    <xf numFmtId="0" fontId="5" fillId="0" borderId="0"/>
    <xf numFmtId="0" fontId="34" fillId="0" borderId="0"/>
    <xf numFmtId="0" fontId="5"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23" fillId="0" borderId="0">
      <alignment vertical="center"/>
    </xf>
    <xf numFmtId="0" fontId="23" fillId="0" borderId="0">
      <alignment vertical="center"/>
    </xf>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34" fillId="0" borderId="0"/>
    <xf numFmtId="0" fontId="5" fillId="0" borderId="0"/>
    <xf numFmtId="0" fontId="5" fillId="0" borderId="0"/>
    <xf numFmtId="0" fontId="5" fillId="0" borderId="0"/>
    <xf numFmtId="0" fontId="23" fillId="0" borderId="0"/>
    <xf numFmtId="0" fontId="5" fillId="0" borderId="0"/>
    <xf numFmtId="0" fontId="34" fillId="0" borderId="0"/>
    <xf numFmtId="0" fontId="5"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5" fillId="0" borderId="0"/>
    <xf numFmtId="0" fontId="23" fillId="0" borderId="0">
      <alignment vertical="center"/>
    </xf>
    <xf numFmtId="0" fontId="23" fillId="0" borderId="0">
      <alignment vertical="center"/>
    </xf>
    <xf numFmtId="0" fontId="5"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44" fillId="0" borderId="0"/>
    <xf numFmtId="0" fontId="5" fillId="0" borderId="0"/>
    <xf numFmtId="0" fontId="5" fillId="0" borderId="0"/>
    <xf numFmtId="0" fontId="5" fillId="0" borderId="0"/>
    <xf numFmtId="0" fontId="5" fillId="0" borderId="0"/>
    <xf numFmtId="0" fontId="34"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34" fillId="0" borderId="0"/>
    <xf numFmtId="0" fontId="34" fillId="0" borderId="0"/>
    <xf numFmtId="0" fontId="23" fillId="0" borderId="0">
      <alignment vertical="center"/>
    </xf>
    <xf numFmtId="0" fontId="5" fillId="0" borderId="0"/>
    <xf numFmtId="0" fontId="34" fillId="0" borderId="0"/>
    <xf numFmtId="0" fontId="34" fillId="0" borderId="0"/>
    <xf numFmtId="0" fontId="34"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34"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34" fillId="0" borderId="0"/>
    <xf numFmtId="0" fontId="5" fillId="0" borderId="0"/>
    <xf numFmtId="0" fontId="23" fillId="0" borderId="0"/>
    <xf numFmtId="0" fontId="23"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34" fillId="0" borderId="0"/>
    <xf numFmtId="0" fontId="34"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44" fillId="0" borderId="0"/>
    <xf numFmtId="0" fontId="23" fillId="0" borderId="0">
      <alignment vertical="center"/>
    </xf>
    <xf numFmtId="0" fontId="23" fillId="0" borderId="0">
      <alignment vertical="center"/>
    </xf>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5" fillId="0" borderId="0"/>
    <xf numFmtId="0" fontId="5" fillId="0" borderId="0"/>
    <xf numFmtId="0" fontId="23"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44"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43" fillId="0" borderId="0"/>
    <xf numFmtId="0" fontId="23" fillId="0" borderId="0"/>
    <xf numFmtId="0" fontId="23" fillId="0" borderId="0"/>
    <xf numFmtId="0" fontId="23" fillId="0" borderId="0"/>
    <xf numFmtId="0" fontId="23" fillId="0" borderId="0"/>
    <xf numFmtId="0" fontId="43" fillId="0" borderId="0"/>
    <xf numFmtId="0" fontId="23" fillId="0" borderId="0">
      <alignment vertical="center"/>
    </xf>
    <xf numFmtId="0" fontId="23" fillId="0" borderId="0">
      <alignment vertical="center"/>
    </xf>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5" fillId="0" borderId="0"/>
    <xf numFmtId="0" fontId="5" fillId="0" borderId="0"/>
    <xf numFmtId="0" fontId="43"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23" fillId="0" borderId="0"/>
    <xf numFmtId="0" fontId="23" fillId="0" borderId="0"/>
    <xf numFmtId="0" fontId="5" fillId="0" borderId="0"/>
    <xf numFmtId="0" fontId="23" fillId="0" borderId="0"/>
    <xf numFmtId="0" fontId="23" fillId="0" borderId="0"/>
    <xf numFmtId="0" fontId="43" fillId="0" borderId="0"/>
    <xf numFmtId="0" fontId="23" fillId="0" borderId="0"/>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xf numFmtId="0" fontId="43" fillId="0" borderId="0"/>
    <xf numFmtId="0" fontId="43"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34" fillId="0" borderId="0"/>
    <xf numFmtId="0" fontId="34"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34"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34" fillId="0" borderId="0"/>
    <xf numFmtId="0" fontId="23" fillId="0" borderId="0">
      <alignment vertical="center"/>
    </xf>
    <xf numFmtId="0" fontId="5"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5"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xf numFmtId="0" fontId="23" fillId="0" borderId="0"/>
    <xf numFmtId="0" fontId="23" fillId="0" borderId="0"/>
    <xf numFmtId="0" fontId="23" fillId="0" borderId="0"/>
    <xf numFmtId="0" fontId="34" fillId="0" borderId="0"/>
    <xf numFmtId="0" fontId="34" fillId="0" borderId="0"/>
    <xf numFmtId="0" fontId="23" fillId="0" borderId="0"/>
    <xf numFmtId="0" fontId="23" fillId="0" borderId="0"/>
    <xf numFmtId="0" fontId="23" fillId="0" borderId="0"/>
    <xf numFmtId="0" fontId="23" fillId="0" borderId="0"/>
    <xf numFmtId="0" fontId="34" fillId="0" borderId="0"/>
    <xf numFmtId="0" fontId="23" fillId="0" borderId="0"/>
    <xf numFmtId="0" fontId="23" fillId="0" borderId="0"/>
    <xf numFmtId="0" fontId="43" fillId="0" borderId="0"/>
    <xf numFmtId="0" fontId="23" fillId="0" borderId="0">
      <alignment vertical="center"/>
    </xf>
    <xf numFmtId="0" fontId="23" fillId="0" borderId="0"/>
    <xf numFmtId="0" fontId="23" fillId="0" borderId="0"/>
    <xf numFmtId="0" fontId="23" fillId="0" borderId="0"/>
    <xf numFmtId="0" fontId="23" fillId="0" borderId="0"/>
    <xf numFmtId="0" fontId="34" fillId="0" borderId="0"/>
    <xf numFmtId="0" fontId="23" fillId="0" borderId="0">
      <alignment vertical="center"/>
    </xf>
    <xf numFmtId="0" fontId="23" fillId="0" borderId="0"/>
    <xf numFmtId="0" fontId="34" fillId="0" borderId="0"/>
    <xf numFmtId="0" fontId="43" fillId="0" borderId="0"/>
    <xf numFmtId="0" fontId="23" fillId="0" borderId="0"/>
    <xf numFmtId="0" fontId="34" fillId="0" borderId="0"/>
    <xf numFmtId="0" fontId="23" fillId="0" borderId="0"/>
    <xf numFmtId="0" fontId="34" fillId="0" borderId="0"/>
    <xf numFmtId="0" fontId="34" fillId="0" borderId="0"/>
    <xf numFmtId="0" fontId="34"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5" fillId="0" borderId="0"/>
    <xf numFmtId="0" fontId="5"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5" fillId="0" borderId="0"/>
    <xf numFmtId="0" fontId="23" fillId="0" borderId="0">
      <alignment vertical="center"/>
    </xf>
    <xf numFmtId="0" fontId="23" fillId="0" borderId="0"/>
    <xf numFmtId="0" fontId="23" fillId="0" borderId="0"/>
    <xf numFmtId="0" fontId="23" fillId="0" borderId="0"/>
    <xf numFmtId="0" fontId="23" fillId="0" borderId="0"/>
    <xf numFmtId="0" fontId="4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43" fillId="0" borderId="0"/>
    <xf numFmtId="0" fontId="23" fillId="0" borderId="0">
      <alignment vertical="center"/>
    </xf>
    <xf numFmtId="0" fontId="23" fillId="0" borderId="0"/>
    <xf numFmtId="0" fontId="23" fillId="0" borderId="0"/>
    <xf numFmtId="0" fontId="4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5"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23" fillId="64" borderId="38" applyNumberFormat="0" applyFont="0" applyAlignment="0" applyProtection="0"/>
    <xf numFmtId="0" fontId="23" fillId="64" borderId="38" applyNumberFormat="0" applyFont="0" applyAlignment="0" applyProtection="0"/>
    <xf numFmtId="0" fontId="23" fillId="64" borderId="3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5" fillId="8" borderId="8" applyNumberFormat="0" applyFont="0" applyAlignment="0" applyProtection="0"/>
    <xf numFmtId="0" fontId="44" fillId="8" borderId="8" applyNumberFormat="0" applyFont="0" applyAlignment="0" applyProtection="0"/>
    <xf numFmtId="0" fontId="5"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23" fillId="64" borderId="3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23" fillId="64" borderId="38" applyNumberFormat="0" applyFont="0" applyAlignment="0" applyProtection="0"/>
    <xf numFmtId="0" fontId="23" fillId="64" borderId="38" applyNumberFormat="0" applyFont="0" applyAlignment="0" applyProtection="0"/>
    <xf numFmtId="0" fontId="23" fillId="64" borderId="38" applyNumberFormat="0" applyFont="0" applyAlignment="0" applyProtection="0"/>
    <xf numFmtId="0" fontId="14" fillId="6" borderId="5" applyNumberFormat="0" applyAlignment="0" applyProtection="0"/>
    <xf numFmtId="0" fontId="65" fillId="58" borderId="39" applyNumberFormat="0" applyAlignment="0" applyProtection="0"/>
    <xf numFmtId="0" fontId="65" fillId="58" borderId="39" applyNumberFormat="0" applyAlignment="0" applyProtection="0"/>
    <xf numFmtId="0" fontId="65" fillId="58" borderId="39" applyNumberFormat="0" applyAlignment="0" applyProtection="0"/>
    <xf numFmtId="0" fontId="14" fillId="6" borderId="5" applyNumberFormat="0" applyAlignment="0" applyProtection="0"/>
    <xf numFmtId="0" fontId="66" fillId="58" borderId="5" applyNumberFormat="0" applyAlignment="0" applyProtection="0"/>
    <xf numFmtId="0" fontId="66" fillId="58" borderId="5" applyNumberFormat="0" applyAlignment="0" applyProtection="0"/>
    <xf numFmtId="0" fontId="66" fillId="58" borderId="5" applyNumberFormat="0" applyAlignment="0" applyProtection="0"/>
    <xf numFmtId="0" fontId="66" fillId="58" borderId="5" applyNumberFormat="0" applyAlignment="0" applyProtection="0"/>
    <xf numFmtId="0" fontId="65" fillId="58" borderId="39" applyNumberFormat="0" applyAlignment="0" applyProtection="0"/>
    <xf numFmtId="0" fontId="65" fillId="58" borderId="39" applyNumberFormat="0" applyAlignment="0" applyProtection="0"/>
    <xf numFmtId="0" fontId="65" fillId="58" borderId="39" applyNumberFormat="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5"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5" fillId="0" borderId="0" applyFont="0" applyFill="0" applyBorder="0" applyAlignment="0" applyProtection="0"/>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23" fillId="0" borderId="0">
      <alignment vertical="center"/>
    </xf>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23"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0" fillId="0" borderId="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20" fillId="0" borderId="9"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75">
    <xf numFmtId="0" fontId="0" fillId="0" borderId="0" xfId="0"/>
    <xf numFmtId="0" fontId="24" fillId="33" borderId="0" xfId="0" applyFont="1" applyFill="1" applyAlignment="1" applyProtection="1">
      <alignment vertical="top" wrapText="1"/>
    </xf>
    <xf numFmtId="0" fontId="0" fillId="33" borderId="0" xfId="0" applyFill="1" applyBorder="1" applyProtection="1"/>
    <xf numFmtId="0" fontId="27" fillId="33" borderId="0" xfId="0" applyFont="1" applyFill="1" applyBorder="1" applyAlignment="1" applyProtection="1"/>
    <xf numFmtId="0" fontId="0" fillId="33" borderId="0" xfId="0" applyFill="1" applyBorder="1" applyAlignment="1" applyProtection="1">
      <alignment horizontal="left" indent="1"/>
    </xf>
    <xf numFmtId="0" fontId="28" fillId="33" borderId="0" xfId="0" applyFont="1" applyFill="1" applyBorder="1" applyAlignment="1" applyProtection="1"/>
    <xf numFmtId="0" fontId="0" fillId="0" borderId="0" xfId="0" applyProtection="1"/>
    <xf numFmtId="0" fontId="25" fillId="0" borderId="0" xfId="0" applyFont="1" applyAlignment="1" applyProtection="1">
      <alignment horizontal="right"/>
    </xf>
    <xf numFmtId="0" fontId="23" fillId="0" borderId="0" xfId="0" applyFont="1" applyAlignment="1" applyProtection="1">
      <alignment horizontal="right"/>
    </xf>
    <xf numFmtId="0" fontId="28" fillId="0" borderId="0" xfId="0" applyFont="1" applyAlignment="1" applyProtection="1">
      <alignment horizontal="center"/>
    </xf>
    <xf numFmtId="0" fontId="30" fillId="35" borderId="0" xfId="0" applyFont="1" applyFill="1" applyAlignment="1" applyProtection="1">
      <alignment horizontal="center"/>
    </xf>
    <xf numFmtId="0" fontId="23" fillId="0" borderId="0" xfId="0" applyFont="1" applyProtection="1"/>
    <xf numFmtId="0" fontId="25" fillId="0" borderId="0" xfId="0" applyFont="1" applyProtection="1"/>
    <xf numFmtId="164" fontId="25" fillId="34" borderId="11" xfId="1" applyNumberFormat="1" applyFont="1" applyFill="1" applyBorder="1" applyProtection="1">
      <protection locked="0"/>
    </xf>
    <xf numFmtId="0" fontId="25" fillId="0" borderId="0" xfId="0" applyFont="1" applyAlignment="1" applyProtection="1"/>
    <xf numFmtId="0" fontId="25" fillId="0" borderId="0" xfId="0" applyFont="1" applyAlignment="1" applyProtection="1">
      <alignment horizontal="center"/>
    </xf>
    <xf numFmtId="0" fontId="25" fillId="0" borderId="15" xfId="0" applyFont="1" applyBorder="1" applyAlignment="1" applyProtection="1">
      <alignment horizontal="center"/>
    </xf>
    <xf numFmtId="0" fontId="25" fillId="0" borderId="16" xfId="0" applyFont="1" applyBorder="1" applyAlignment="1" applyProtection="1">
      <alignment horizontal="center"/>
    </xf>
    <xf numFmtId="0" fontId="25" fillId="0" borderId="17" xfId="0" applyFont="1" applyBorder="1" applyAlignment="1" applyProtection="1">
      <alignment horizontal="center"/>
    </xf>
    <xf numFmtId="0" fontId="25" fillId="0" borderId="19" xfId="0" quotePrefix="1" applyFont="1" applyBorder="1" applyAlignment="1" applyProtection="1">
      <alignment horizontal="center"/>
    </xf>
    <xf numFmtId="0" fontId="25" fillId="0" borderId="20" xfId="0" quotePrefix="1" applyFont="1" applyBorder="1" applyAlignment="1" applyProtection="1">
      <alignment horizontal="center"/>
    </xf>
    <xf numFmtId="0" fontId="0" fillId="0" borderId="0" xfId="0" applyAlignment="1" applyProtection="1">
      <alignment vertical="top"/>
    </xf>
    <xf numFmtId="0" fontId="0" fillId="35" borderId="0" xfId="0" applyFill="1" applyAlignment="1" applyProtection="1">
      <alignment vertical="top"/>
      <protection locked="0"/>
    </xf>
    <xf numFmtId="0" fontId="0" fillId="0" borderId="0" xfId="0" applyFill="1" applyAlignment="1" applyProtection="1">
      <alignment vertical="top"/>
    </xf>
    <xf numFmtId="165" fontId="0" fillId="34" borderId="18" xfId="2" applyNumberFormat="1" applyFont="1" applyFill="1" applyBorder="1" applyAlignment="1" applyProtection="1">
      <alignment vertical="top"/>
      <protection locked="0"/>
    </xf>
    <xf numFmtId="0" fontId="0" fillId="0" borderId="18" xfId="0" applyFill="1" applyBorder="1" applyAlignment="1" applyProtection="1">
      <alignment vertical="center"/>
    </xf>
    <xf numFmtId="44" fontId="0" fillId="0" borderId="16" xfId="2" applyFont="1" applyBorder="1" applyAlignment="1" applyProtection="1">
      <alignment vertical="center"/>
    </xf>
    <xf numFmtId="0" fontId="0" fillId="0" borderId="0" xfId="0" applyAlignment="1" applyProtection="1">
      <alignment vertical="center"/>
    </xf>
    <xf numFmtId="165" fontId="0" fillId="34" borderId="18" xfId="2" applyNumberFormat="1" applyFont="1" applyFill="1" applyBorder="1" applyAlignment="1" applyProtection="1">
      <alignment vertical="center"/>
      <protection locked="0"/>
    </xf>
    <xf numFmtId="0" fontId="0" fillId="0" borderId="16" xfId="0" applyFill="1" applyBorder="1" applyAlignment="1" applyProtection="1">
      <alignment vertical="center"/>
    </xf>
    <xf numFmtId="44" fontId="0" fillId="0" borderId="18" xfId="0" applyNumberFormat="1" applyBorder="1" applyAlignment="1" applyProtection="1">
      <alignment vertical="center"/>
    </xf>
    <xf numFmtId="10" fontId="0" fillId="0" borderId="16" xfId="3" applyNumberFormat="1" applyFont="1" applyBorder="1" applyAlignment="1" applyProtection="1">
      <alignment vertical="center"/>
    </xf>
    <xf numFmtId="0" fontId="0" fillId="34" borderId="0" xfId="0" applyFill="1" applyAlignment="1" applyProtection="1">
      <alignment vertical="top"/>
    </xf>
    <xf numFmtId="0" fontId="0" fillId="34" borderId="0" xfId="0" applyFill="1" applyAlignment="1" applyProtection="1">
      <alignment vertical="top"/>
      <protection locked="0"/>
    </xf>
    <xf numFmtId="0" fontId="25" fillId="36" borderId="12" xfId="0" applyFont="1" applyFill="1" applyBorder="1" applyAlignment="1" applyProtection="1">
      <alignment vertical="top"/>
      <protection locked="0"/>
    </xf>
    <xf numFmtId="0" fontId="0" fillId="36" borderId="13" xfId="0" applyFill="1" applyBorder="1" applyAlignment="1" applyProtection="1">
      <alignment vertical="top"/>
    </xf>
    <xf numFmtId="0" fontId="0" fillId="36" borderId="13" xfId="0" applyFill="1" applyBorder="1" applyAlignment="1" applyProtection="1">
      <alignment vertical="top"/>
      <protection locked="0"/>
    </xf>
    <xf numFmtId="165" fontId="0" fillId="36" borderId="11" xfId="2" applyNumberFormat="1" applyFont="1" applyFill="1" applyBorder="1" applyAlignment="1" applyProtection="1">
      <alignment vertical="top"/>
      <protection locked="0"/>
    </xf>
    <xf numFmtId="0" fontId="0" fillId="36" borderId="11" xfId="0" applyFill="1" applyBorder="1" applyAlignment="1" applyProtection="1">
      <alignment vertical="center"/>
      <protection locked="0"/>
    </xf>
    <xf numFmtId="44" fontId="0" fillId="36" borderId="14" xfId="2" applyFont="1" applyFill="1" applyBorder="1" applyAlignment="1" applyProtection="1">
      <alignment vertical="center"/>
    </xf>
    <xf numFmtId="0" fontId="0" fillId="36" borderId="0" xfId="0" applyFill="1" applyAlignment="1" applyProtection="1">
      <alignment vertical="center"/>
    </xf>
    <xf numFmtId="165" fontId="0" fillId="36" borderId="11" xfId="2" applyNumberFormat="1" applyFont="1" applyFill="1" applyBorder="1" applyAlignment="1" applyProtection="1">
      <alignment vertical="center"/>
      <protection locked="0"/>
    </xf>
    <xf numFmtId="0" fontId="0" fillId="36" borderId="14" xfId="0" applyFill="1" applyBorder="1" applyAlignment="1" applyProtection="1">
      <alignment vertical="center"/>
      <protection locked="0"/>
    </xf>
    <xf numFmtId="44" fontId="25" fillId="36" borderId="11" xfId="0" applyNumberFormat="1" applyFont="1" applyFill="1" applyBorder="1" applyAlignment="1" applyProtection="1">
      <alignment vertical="center"/>
    </xf>
    <xf numFmtId="10" fontId="25" fillId="36" borderId="14" xfId="3" applyNumberFormat="1" applyFont="1" applyFill="1" applyBorder="1" applyAlignment="1" applyProtection="1">
      <alignment vertical="center"/>
    </xf>
    <xf numFmtId="0" fontId="0" fillId="0" borderId="0" xfId="0" applyFill="1" applyProtection="1"/>
    <xf numFmtId="0" fontId="23" fillId="34" borderId="0" xfId="0" applyFont="1" applyFill="1" applyAlignment="1" applyProtection="1">
      <alignment vertical="top" wrapText="1"/>
    </xf>
    <xf numFmtId="0" fontId="0" fillId="0" borderId="21" xfId="0" applyBorder="1" applyAlignment="1" applyProtection="1">
      <alignment vertical="center"/>
    </xf>
    <xf numFmtId="0" fontId="0" fillId="0" borderId="18" xfId="0" applyBorder="1" applyAlignment="1" applyProtection="1">
      <alignment vertical="center"/>
    </xf>
    <xf numFmtId="0" fontId="23" fillId="0" borderId="0" xfId="0" applyFont="1" applyAlignment="1" applyProtection="1">
      <alignment vertical="top"/>
    </xf>
    <xf numFmtId="166" fontId="0" fillId="34" borderId="18" xfId="2" applyNumberFormat="1" applyFont="1" applyFill="1" applyBorder="1" applyAlignment="1" applyProtection="1">
      <alignment vertical="top"/>
      <protection locked="0"/>
    </xf>
    <xf numFmtId="164" fontId="0" fillId="0" borderId="18" xfId="0" applyNumberFormat="1" applyFill="1" applyBorder="1" applyAlignment="1" applyProtection="1">
      <alignment vertical="center"/>
    </xf>
    <xf numFmtId="166" fontId="0" fillId="34" borderId="18" xfId="2" applyNumberFormat="1" applyFont="1" applyFill="1" applyBorder="1" applyAlignment="1" applyProtection="1">
      <alignment vertical="center"/>
      <protection locked="0"/>
    </xf>
    <xf numFmtId="165" fontId="0" fillId="37" borderId="18" xfId="2" applyNumberFormat="1" applyFont="1" applyFill="1" applyBorder="1" applyAlignment="1" applyProtection="1">
      <alignment vertical="top"/>
      <protection locked="0"/>
    </xf>
    <xf numFmtId="164" fontId="0" fillId="38" borderId="18" xfId="0" applyNumberFormat="1" applyFill="1" applyBorder="1" applyAlignment="1" applyProtection="1">
      <alignment vertical="center"/>
    </xf>
    <xf numFmtId="165" fontId="0" fillId="37" borderId="18" xfId="2" applyNumberFormat="1" applyFont="1" applyFill="1" applyBorder="1" applyAlignment="1" applyProtection="1">
      <alignment vertical="center"/>
      <protection locked="0"/>
    </xf>
    <xf numFmtId="0" fontId="25" fillId="36" borderId="12" xfId="0" applyFont="1" applyFill="1" applyBorder="1" applyAlignment="1" applyProtection="1">
      <alignment vertical="top" wrapText="1"/>
    </xf>
    <xf numFmtId="0" fontId="0" fillId="36" borderId="13" xfId="0" applyFill="1" applyBorder="1" applyProtection="1"/>
    <xf numFmtId="0" fontId="0" fillId="36" borderId="11" xfId="0" applyFill="1" applyBorder="1" applyProtection="1"/>
    <xf numFmtId="0" fontId="0" fillId="36" borderId="11" xfId="0" applyFill="1" applyBorder="1" applyAlignment="1" applyProtection="1">
      <alignment vertical="center"/>
    </xf>
    <xf numFmtId="44" fontId="25" fillId="36" borderId="14" xfId="0" applyNumberFormat="1" applyFont="1" applyFill="1" applyBorder="1" applyAlignment="1" applyProtection="1">
      <alignment vertical="center"/>
    </xf>
    <xf numFmtId="0" fontId="0" fillId="36" borderId="14" xfId="0" applyFill="1" applyBorder="1" applyAlignment="1" applyProtection="1">
      <alignment vertical="center"/>
    </xf>
    <xf numFmtId="0" fontId="0" fillId="35" borderId="0" xfId="0" applyFill="1" applyAlignment="1" applyProtection="1">
      <alignment vertical="center"/>
      <protection locked="0"/>
    </xf>
    <xf numFmtId="0" fontId="0" fillId="0" borderId="0" xfId="0" applyFill="1" applyAlignment="1" applyProtection="1">
      <alignment vertical="center"/>
    </xf>
    <xf numFmtId="1" fontId="0" fillId="38" borderId="18" xfId="0" applyNumberFormat="1" applyFill="1" applyBorder="1" applyAlignment="1" applyProtection="1">
      <alignment vertical="center"/>
    </xf>
    <xf numFmtId="1" fontId="0" fillId="38" borderId="16" xfId="0" applyNumberFormat="1" applyFill="1" applyBorder="1" applyAlignment="1" applyProtection="1">
      <alignment vertical="center"/>
    </xf>
    <xf numFmtId="0" fontId="0" fillId="0" borderId="0" xfId="0" applyAlignment="1" applyProtection="1">
      <alignment vertical="center" wrapText="1"/>
    </xf>
    <xf numFmtId="0" fontId="0" fillId="36" borderId="11" xfId="0" applyFill="1" applyBorder="1" applyAlignment="1" applyProtection="1">
      <alignment vertical="top"/>
    </xf>
    <xf numFmtId="0" fontId="25" fillId="36" borderId="0" xfId="0" applyFont="1" applyFill="1" applyAlignment="1" applyProtection="1">
      <alignment vertical="center"/>
    </xf>
    <xf numFmtId="0" fontId="25" fillId="36" borderId="11" xfId="0" applyFont="1" applyFill="1" applyBorder="1" applyAlignment="1" applyProtection="1">
      <alignment vertical="center"/>
    </xf>
    <xf numFmtId="0" fontId="25" fillId="36" borderId="14" xfId="0" applyFont="1" applyFill="1" applyBorder="1" applyAlignment="1" applyProtection="1">
      <alignment vertical="center"/>
    </xf>
    <xf numFmtId="0" fontId="0" fillId="0" borderId="0" xfId="0" applyAlignment="1" applyProtection="1">
      <alignment vertical="top" wrapText="1"/>
    </xf>
    <xf numFmtId="165" fontId="23" fillId="34" borderId="18" xfId="2" applyNumberFormat="1" applyFill="1" applyBorder="1" applyAlignment="1" applyProtection="1">
      <alignment vertical="top"/>
      <protection locked="0"/>
    </xf>
    <xf numFmtId="44" fontId="23" fillId="0" borderId="16" xfId="2" applyBorder="1" applyAlignment="1" applyProtection="1">
      <alignment vertical="center"/>
    </xf>
    <xf numFmtId="10" fontId="23" fillId="0" borderId="16" xfId="3" applyNumberFormat="1" applyBorder="1" applyAlignment="1" applyProtection="1">
      <alignment vertical="center"/>
    </xf>
    <xf numFmtId="1" fontId="0" fillId="0" borderId="18" xfId="0" applyNumberFormat="1" applyFill="1" applyBorder="1" applyAlignment="1" applyProtection="1">
      <alignment vertical="center"/>
    </xf>
    <xf numFmtId="1" fontId="0" fillId="0" borderId="16" xfId="0" applyNumberFormat="1" applyFill="1" applyBorder="1" applyAlignment="1" applyProtection="1">
      <alignment vertical="center"/>
    </xf>
    <xf numFmtId="1" fontId="23" fillId="37" borderId="18" xfId="0" applyNumberFormat="1" applyFont="1" applyFill="1" applyBorder="1" applyAlignment="1" applyProtection="1">
      <alignment vertical="center"/>
    </xf>
    <xf numFmtId="0" fontId="23" fillId="0" borderId="0" xfId="4" applyFont="1" applyAlignment="1" applyProtection="1">
      <alignment vertical="top"/>
    </xf>
    <xf numFmtId="0" fontId="23" fillId="0" borderId="0" xfId="4" applyAlignment="1" applyProtection="1">
      <alignment vertical="top"/>
    </xf>
    <xf numFmtId="0" fontId="23" fillId="35" borderId="0" xfId="4" applyFill="1" applyAlignment="1" applyProtection="1">
      <alignment vertical="top"/>
      <protection locked="0"/>
    </xf>
    <xf numFmtId="0" fontId="23" fillId="0" borderId="0" xfId="4" applyFill="1" applyAlignment="1" applyProtection="1">
      <alignment vertical="top"/>
    </xf>
    <xf numFmtId="1" fontId="23" fillId="37" borderId="18" xfId="4" applyNumberFormat="1" applyFill="1" applyBorder="1" applyAlignment="1" applyProtection="1">
      <alignment vertical="center"/>
    </xf>
    <xf numFmtId="0" fontId="23" fillId="0" borderId="0" xfId="4" applyAlignment="1" applyProtection="1">
      <alignment vertical="center"/>
    </xf>
    <xf numFmtId="44" fontId="23" fillId="0" borderId="18" xfId="4" applyNumberFormat="1" applyBorder="1" applyAlignment="1" applyProtection="1">
      <alignment vertical="center"/>
    </xf>
    <xf numFmtId="0" fontId="23" fillId="0" borderId="0" xfId="4" applyProtection="1"/>
    <xf numFmtId="0" fontId="23" fillId="39" borderId="22" xfId="0" applyFont="1" applyFill="1" applyBorder="1" applyProtection="1"/>
    <xf numFmtId="0" fontId="0" fillId="39" borderId="23" xfId="0" applyFill="1" applyBorder="1" applyAlignment="1" applyProtection="1">
      <alignment vertical="top"/>
    </xf>
    <xf numFmtId="0" fontId="0" fillId="39" borderId="23" xfId="0" applyFill="1" applyBorder="1" applyAlignment="1" applyProtection="1">
      <alignment vertical="top"/>
      <protection locked="0"/>
    </xf>
    <xf numFmtId="165" fontId="23" fillId="39" borderId="24" xfId="2" applyNumberFormat="1" applyFill="1" applyBorder="1" applyAlignment="1" applyProtection="1">
      <alignment vertical="top"/>
      <protection locked="0"/>
    </xf>
    <xf numFmtId="0" fontId="0" fillId="39" borderId="25" xfId="0" applyFill="1" applyBorder="1" applyAlignment="1" applyProtection="1">
      <alignment vertical="center"/>
      <protection locked="0"/>
    </xf>
    <xf numFmtId="44" fontId="23" fillId="39" borderId="23" xfId="2" applyFill="1" applyBorder="1" applyAlignment="1" applyProtection="1">
      <alignment vertical="center"/>
    </xf>
    <xf numFmtId="0" fontId="0" fillId="39" borderId="23" xfId="0" applyFill="1" applyBorder="1" applyAlignment="1" applyProtection="1">
      <alignment vertical="center"/>
    </xf>
    <xf numFmtId="0" fontId="0" fillId="39" borderId="24" xfId="0" applyFill="1" applyBorder="1" applyAlignment="1" applyProtection="1">
      <alignment vertical="center"/>
      <protection locked="0"/>
    </xf>
    <xf numFmtId="44" fontId="0" fillId="39" borderId="24" xfId="0" applyNumberFormat="1" applyFill="1" applyBorder="1" applyAlignment="1" applyProtection="1">
      <alignment vertical="center"/>
    </xf>
    <xf numFmtId="10" fontId="23" fillId="39" borderId="26" xfId="3" applyNumberFormat="1" applyFill="1" applyBorder="1" applyAlignment="1" applyProtection="1">
      <alignment vertical="center"/>
    </xf>
    <xf numFmtId="0" fontId="25" fillId="0" borderId="0" xfId="0" applyFont="1" applyFill="1" applyAlignment="1" applyProtection="1">
      <alignment vertical="top"/>
    </xf>
    <xf numFmtId="9" fontId="0" fillId="0" borderId="18" xfId="0" applyNumberFormat="1" applyFill="1" applyBorder="1" applyAlignment="1" applyProtection="1">
      <alignment vertical="top"/>
    </xf>
    <xf numFmtId="9" fontId="0" fillId="0" borderId="0" xfId="0" applyNumberFormat="1" applyFill="1" applyBorder="1" applyAlignment="1" applyProtection="1">
      <alignment vertical="center"/>
    </xf>
    <xf numFmtId="44" fontId="25" fillId="0" borderId="21" xfId="0" applyNumberFormat="1" applyFont="1" applyFill="1" applyBorder="1" applyAlignment="1" applyProtection="1">
      <alignment vertical="center"/>
    </xf>
    <xf numFmtId="0" fontId="25" fillId="0" borderId="18" xfId="0" applyFont="1" applyFill="1" applyBorder="1" applyAlignment="1" applyProtection="1">
      <alignment vertical="center"/>
    </xf>
    <xf numFmtId="9" fontId="25" fillId="0" borderId="18" xfId="0" applyNumberFormat="1" applyFont="1" applyFill="1" applyBorder="1" applyAlignment="1" applyProtection="1">
      <alignment vertical="center"/>
    </xf>
    <xf numFmtId="0" fontId="25" fillId="0" borderId="0" xfId="0" applyFont="1" applyFill="1" applyBorder="1" applyAlignment="1" applyProtection="1">
      <alignment vertical="center"/>
    </xf>
    <xf numFmtId="44" fontId="25" fillId="0" borderId="18" xfId="0" applyNumberFormat="1" applyFont="1" applyFill="1" applyBorder="1" applyAlignment="1" applyProtection="1">
      <alignment vertical="center"/>
    </xf>
    <xf numFmtId="10" fontId="25" fillId="0" borderId="16" xfId="3" applyNumberFormat="1" applyFont="1" applyFill="1" applyBorder="1" applyAlignment="1" applyProtection="1">
      <alignment vertical="center"/>
    </xf>
    <xf numFmtId="0" fontId="23" fillId="0" borderId="0" xfId="0" applyFont="1" applyFill="1" applyAlignment="1" applyProtection="1">
      <alignment horizontal="left" vertical="top" indent="1"/>
    </xf>
    <xf numFmtId="9" fontId="0" fillId="0" borderId="18" xfId="0" applyNumberFormat="1" applyFill="1" applyBorder="1" applyAlignment="1" applyProtection="1">
      <alignment vertical="top"/>
      <protection locked="0"/>
    </xf>
    <xf numFmtId="0" fontId="0" fillId="0" borderId="0" xfId="0" applyFill="1" applyBorder="1" applyAlignment="1" applyProtection="1">
      <alignment vertical="center"/>
    </xf>
    <xf numFmtId="44" fontId="23" fillId="0" borderId="21" xfId="0" applyNumberFormat="1" applyFont="1" applyFill="1" applyBorder="1" applyAlignment="1" applyProtection="1">
      <alignment vertical="center"/>
    </xf>
    <xf numFmtId="0" fontId="23" fillId="0" borderId="18" xfId="0" applyFont="1" applyFill="1" applyBorder="1" applyAlignment="1" applyProtection="1">
      <alignment vertical="center"/>
    </xf>
    <xf numFmtId="9" fontId="23" fillId="0" borderId="18" xfId="0" applyNumberFormat="1" applyFont="1" applyFill="1" applyBorder="1" applyAlignment="1" applyProtection="1">
      <alignment vertical="center"/>
      <protection locked="0"/>
    </xf>
    <xf numFmtId="44" fontId="23" fillId="0" borderId="16" xfId="0" applyNumberFormat="1" applyFont="1" applyFill="1" applyBorder="1" applyAlignment="1" applyProtection="1">
      <alignment vertical="center"/>
    </xf>
    <xf numFmtId="0" fontId="23" fillId="0" borderId="0" xfId="0" applyFont="1" applyFill="1" applyBorder="1" applyAlignment="1" applyProtection="1">
      <alignment vertical="center"/>
    </xf>
    <xf numFmtId="44" fontId="23" fillId="0" borderId="18" xfId="0" applyNumberFormat="1" applyFont="1" applyFill="1" applyBorder="1" applyAlignment="1" applyProtection="1">
      <alignment vertical="center"/>
    </xf>
    <xf numFmtId="10" fontId="23" fillId="0" borderId="16" xfId="3" applyNumberFormat="1" applyFont="1" applyFill="1" applyBorder="1" applyAlignment="1" applyProtection="1">
      <alignment vertical="center"/>
    </xf>
    <xf numFmtId="0" fontId="25" fillId="0" borderId="0" xfId="0" applyFont="1" applyAlignment="1" applyProtection="1">
      <alignment horizontal="left" vertical="top" wrapText="1" indent="1"/>
    </xf>
    <xf numFmtId="0" fontId="0" fillId="0" borderId="18" xfId="0" applyFill="1" applyBorder="1" applyAlignment="1" applyProtection="1">
      <alignment vertical="top"/>
    </xf>
    <xf numFmtId="0" fontId="23" fillId="39" borderId="22" xfId="4" applyFont="1" applyFill="1" applyBorder="1" applyProtection="1"/>
    <xf numFmtId="0" fontId="23" fillId="39" borderId="23" xfId="4" applyFill="1" applyBorder="1" applyAlignment="1" applyProtection="1">
      <alignment vertical="top"/>
    </xf>
    <xf numFmtId="0" fontId="23" fillId="39" borderId="23" xfId="4" applyFill="1" applyBorder="1" applyAlignment="1" applyProtection="1">
      <alignment vertical="top"/>
      <protection locked="0"/>
    </xf>
    <xf numFmtId="0" fontId="23" fillId="39" borderId="25" xfId="4" applyFill="1" applyBorder="1" applyAlignment="1" applyProtection="1">
      <alignment vertical="center"/>
      <protection locked="0"/>
    </xf>
    <xf numFmtId="0" fontId="23" fillId="39" borderId="23" xfId="4" applyFill="1" applyBorder="1" applyAlignment="1" applyProtection="1">
      <alignment vertical="center"/>
    </xf>
    <xf numFmtId="0" fontId="23" fillId="39" borderId="24" xfId="4" applyFill="1" applyBorder="1" applyAlignment="1" applyProtection="1">
      <alignment vertical="center"/>
      <protection locked="0"/>
    </xf>
    <xf numFmtId="44" fontId="23" fillId="39" borderId="24" xfId="4" applyNumberFormat="1" applyFill="1" applyBorder="1" applyAlignment="1" applyProtection="1">
      <alignment vertical="center"/>
    </xf>
    <xf numFmtId="0" fontId="25" fillId="0" borderId="0" xfId="4" applyFont="1" applyFill="1" applyAlignment="1" applyProtection="1">
      <alignment vertical="top"/>
    </xf>
    <xf numFmtId="9" fontId="23" fillId="0" borderId="18" xfId="4" applyNumberFormat="1" applyFill="1" applyBorder="1" applyAlignment="1" applyProtection="1">
      <alignment vertical="top"/>
    </xf>
    <xf numFmtId="9" fontId="23" fillId="0" borderId="0" xfId="4" applyNumberFormat="1" applyFill="1" applyBorder="1" applyAlignment="1" applyProtection="1">
      <alignment vertical="center"/>
    </xf>
    <xf numFmtId="44" fontId="25" fillId="0" borderId="21" xfId="4" applyNumberFormat="1" applyFont="1" applyFill="1" applyBorder="1" applyAlignment="1" applyProtection="1">
      <alignment vertical="center"/>
    </xf>
    <xf numFmtId="0" fontId="25" fillId="0" borderId="18" xfId="4" applyFont="1" applyFill="1" applyBorder="1" applyAlignment="1" applyProtection="1">
      <alignment vertical="center"/>
    </xf>
    <xf numFmtId="9" fontId="25" fillId="0" borderId="18" xfId="4" applyNumberFormat="1" applyFont="1" applyFill="1" applyBorder="1" applyAlignment="1" applyProtection="1">
      <alignment vertical="center"/>
    </xf>
    <xf numFmtId="0" fontId="25" fillId="0" borderId="0" xfId="4" applyFont="1" applyFill="1" applyBorder="1" applyAlignment="1" applyProtection="1">
      <alignment vertical="center"/>
    </xf>
    <xf numFmtId="44" fontId="25" fillId="0" borderId="18" xfId="4" applyNumberFormat="1" applyFont="1" applyFill="1" applyBorder="1" applyAlignment="1" applyProtection="1">
      <alignment vertical="center"/>
    </xf>
    <xf numFmtId="0" fontId="23" fillId="0" borderId="0" xfId="4" applyFont="1" applyFill="1" applyAlignment="1" applyProtection="1">
      <alignment horizontal="left" vertical="top" indent="1"/>
    </xf>
    <xf numFmtId="9" fontId="23" fillId="0" borderId="18" xfId="4" applyNumberFormat="1" applyFill="1" applyBorder="1" applyAlignment="1" applyProtection="1">
      <alignment vertical="top"/>
      <protection locked="0"/>
    </xf>
    <xf numFmtId="44" fontId="23" fillId="0" borderId="21" xfId="4" applyNumberFormat="1" applyFont="1" applyFill="1" applyBorder="1" applyAlignment="1" applyProtection="1">
      <alignment vertical="center"/>
    </xf>
    <xf numFmtId="0" fontId="23" fillId="0" borderId="18" xfId="4" applyFont="1" applyFill="1" applyBorder="1" applyAlignment="1" applyProtection="1">
      <alignment vertical="center"/>
    </xf>
    <xf numFmtId="9" fontId="23" fillId="0" borderId="18" xfId="4" applyNumberFormat="1" applyFont="1" applyFill="1" applyBorder="1" applyAlignment="1" applyProtection="1">
      <alignment vertical="top"/>
      <protection locked="0"/>
    </xf>
    <xf numFmtId="9" fontId="23" fillId="0" borderId="18" xfId="4" applyNumberFormat="1" applyFont="1" applyFill="1" applyBorder="1" applyAlignment="1" applyProtection="1">
      <alignment vertical="center"/>
    </xf>
    <xf numFmtId="44" fontId="23" fillId="0" borderId="16" xfId="4" applyNumberFormat="1" applyFont="1" applyFill="1" applyBorder="1" applyAlignment="1" applyProtection="1">
      <alignment vertical="center"/>
    </xf>
    <xf numFmtId="0" fontId="23" fillId="0" borderId="0" xfId="4" applyFont="1" applyFill="1" applyBorder="1" applyAlignment="1" applyProtection="1">
      <alignment vertical="center"/>
    </xf>
    <xf numFmtId="44" fontId="23" fillId="0" borderId="18" xfId="4" applyNumberFormat="1" applyFont="1" applyFill="1" applyBorder="1" applyAlignment="1" applyProtection="1">
      <alignment vertical="center"/>
    </xf>
    <xf numFmtId="0" fontId="25" fillId="0" borderId="0" xfId="4" applyFont="1" applyAlignment="1" applyProtection="1">
      <alignment horizontal="left" vertical="top" wrapText="1" indent="1"/>
    </xf>
    <xf numFmtId="0" fontId="23" fillId="0" borderId="18" xfId="4" applyFill="1" applyBorder="1" applyAlignment="1" applyProtection="1">
      <alignment vertical="top"/>
    </xf>
    <xf numFmtId="0" fontId="23" fillId="0" borderId="0" xfId="4" applyFill="1" applyBorder="1" applyAlignment="1" applyProtection="1">
      <alignment vertical="center"/>
    </xf>
    <xf numFmtId="165" fontId="23" fillId="39" borderId="25" xfId="2" applyNumberFormat="1" applyFill="1" applyBorder="1" applyAlignment="1" applyProtection="1">
      <alignment vertical="top"/>
      <protection locked="0"/>
    </xf>
    <xf numFmtId="0" fontId="23" fillId="39" borderId="23" xfId="4" applyFill="1" applyBorder="1" applyAlignment="1" applyProtection="1">
      <alignment vertical="center"/>
      <protection locked="0"/>
    </xf>
    <xf numFmtId="44" fontId="23" fillId="39" borderId="29" xfId="2" applyFill="1" applyBorder="1" applyAlignment="1" applyProtection="1">
      <alignment vertical="center"/>
    </xf>
    <xf numFmtId="0" fontId="23" fillId="39" borderId="25" xfId="4" applyFill="1" applyBorder="1" applyAlignment="1" applyProtection="1">
      <alignment vertical="center"/>
    </xf>
    <xf numFmtId="44" fontId="23" fillId="39" borderId="24" xfId="2" applyFill="1" applyBorder="1" applyAlignment="1" applyProtection="1">
      <alignment vertical="center"/>
    </xf>
    <xf numFmtId="44" fontId="23" fillId="39" borderId="25" xfId="4" applyNumberFormat="1" applyFill="1" applyBorder="1" applyAlignment="1" applyProtection="1">
      <alignment vertical="center"/>
    </xf>
    <xf numFmtId="44" fontId="0" fillId="0" borderId="0" xfId="0" applyNumberFormat="1" applyProtection="1"/>
    <xf numFmtId="167" fontId="23" fillId="34" borderId="11" xfId="3" applyNumberFormat="1" applyFill="1" applyBorder="1" applyProtection="1">
      <protection locked="0"/>
    </xf>
    <xf numFmtId="0" fontId="0" fillId="38" borderId="0" xfId="0" applyFill="1" applyProtection="1"/>
    <xf numFmtId="0" fontId="0" fillId="0" borderId="0" xfId="0" applyFont="1" applyProtection="1"/>
    <xf numFmtId="0" fontId="0" fillId="34" borderId="0" xfId="0" applyFont="1" applyFill="1" applyAlignment="1" applyProtection="1">
      <alignment vertical="top" wrapText="1"/>
    </xf>
    <xf numFmtId="165" fontId="0" fillId="65" borderId="18" xfId="2" applyNumberFormat="1" applyFont="1" applyFill="1" applyBorder="1" applyAlignment="1" applyProtection="1">
      <alignment vertical="top"/>
      <protection locked="0"/>
    </xf>
    <xf numFmtId="44" fontId="0" fillId="34" borderId="18" xfId="2" applyNumberFormat="1" applyFont="1" applyFill="1" applyBorder="1" applyAlignment="1" applyProtection="1">
      <alignment vertical="top"/>
      <protection locked="0"/>
    </xf>
    <xf numFmtId="43" fontId="0" fillId="34" borderId="18" xfId="1" applyFont="1" applyFill="1" applyBorder="1" applyAlignment="1" applyProtection="1">
      <alignment vertical="center"/>
      <protection locked="0"/>
    </xf>
    <xf numFmtId="44" fontId="0" fillId="34" borderId="18" xfId="2" applyNumberFormat="1" applyFont="1" applyFill="1" applyBorder="1" applyAlignment="1" applyProtection="1">
      <alignment vertical="center"/>
      <protection locked="0"/>
    </xf>
    <xf numFmtId="184" fontId="0" fillId="34" borderId="18" xfId="1" applyNumberFormat="1" applyFont="1" applyFill="1" applyBorder="1" applyAlignment="1" applyProtection="1">
      <alignment vertical="center"/>
      <protection locked="0"/>
    </xf>
    <xf numFmtId="43" fontId="25" fillId="34" borderId="11" xfId="1" applyNumberFormat="1" applyFont="1" applyFill="1" applyBorder="1" applyProtection="1">
      <protection locked="0"/>
    </xf>
    <xf numFmtId="185" fontId="0" fillId="38" borderId="18" xfId="0" applyNumberFormat="1" applyFill="1" applyBorder="1" applyAlignment="1" applyProtection="1">
      <alignment vertical="center"/>
    </xf>
    <xf numFmtId="43" fontId="25" fillId="34" borderId="11" xfId="1" applyFont="1" applyFill="1" applyBorder="1" applyProtection="1">
      <protection locked="0"/>
    </xf>
    <xf numFmtId="186" fontId="0" fillId="34" borderId="18" xfId="1" applyNumberFormat="1" applyFont="1" applyFill="1" applyBorder="1" applyAlignment="1" applyProtection="1">
      <alignment vertical="center"/>
      <protection locked="0"/>
    </xf>
    <xf numFmtId="0" fontId="25" fillId="0" borderId="0" xfId="0" applyFont="1" applyFill="1"/>
    <xf numFmtId="0" fontId="26" fillId="0" borderId="0" xfId="0" applyFont="1" applyFill="1" applyAlignment="1">
      <alignment horizontal="right" vertical="top"/>
    </xf>
    <xf numFmtId="0" fontId="26" fillId="0" borderId="10" xfId="0" applyFont="1" applyFill="1" applyBorder="1" applyAlignment="1">
      <alignment horizontal="right" vertical="top"/>
    </xf>
    <xf numFmtId="0" fontId="29" fillId="0" borderId="0" xfId="0" applyFont="1" applyAlignment="1" applyProtection="1"/>
    <xf numFmtId="0" fontId="0" fillId="0" borderId="0" xfId="0" applyFill="1"/>
    <xf numFmtId="0" fontId="29" fillId="0" borderId="0" xfId="0" applyFont="1" applyFill="1" applyAlignment="1" applyProtection="1"/>
    <xf numFmtId="0" fontId="0" fillId="34" borderId="0" xfId="0" applyFill="1" applyProtection="1"/>
    <xf numFmtId="0" fontId="4" fillId="0" borderId="0" xfId="46642"/>
    <xf numFmtId="0" fontId="72" fillId="0" borderId="26" xfId="46642" applyFont="1" applyBorder="1" applyAlignment="1">
      <alignment horizontal="center" vertical="center" wrapText="1"/>
    </xf>
    <xf numFmtId="0" fontId="20" fillId="0" borderId="0" xfId="46642" applyFont="1"/>
    <xf numFmtId="10" fontId="0" fillId="0" borderId="0" xfId="46644" applyNumberFormat="1" applyFont="1"/>
    <xf numFmtId="10" fontId="4" fillId="0" borderId="0" xfId="46642" applyNumberFormat="1"/>
    <xf numFmtId="0" fontId="3" fillId="0" borderId="0" xfId="46642" applyFont="1"/>
    <xf numFmtId="0" fontId="2" fillId="0" borderId="0" xfId="46645"/>
    <xf numFmtId="0" fontId="20" fillId="0" borderId="0" xfId="46645" applyFont="1"/>
    <xf numFmtId="0" fontId="2" fillId="0" borderId="0" xfId="46649"/>
    <xf numFmtId="0" fontId="20" fillId="0" borderId="0" xfId="46649" applyFont="1"/>
    <xf numFmtId="186" fontId="2" fillId="0" borderId="0" xfId="46649" applyNumberFormat="1"/>
    <xf numFmtId="0" fontId="25" fillId="0" borderId="0" xfId="0" applyFont="1"/>
    <xf numFmtId="2" fontId="2" fillId="0" borderId="0" xfId="46653" applyNumberFormat="1"/>
    <xf numFmtId="187" fontId="2" fillId="0" borderId="0" xfId="46653" applyNumberFormat="1"/>
    <xf numFmtId="43" fontId="0" fillId="0" borderId="0" xfId="1" applyFont="1"/>
    <xf numFmtId="44" fontId="0" fillId="0" borderId="16" xfId="2" applyFont="1" applyFill="1" applyBorder="1" applyAlignment="1" applyProtection="1">
      <alignment vertical="center"/>
    </xf>
    <xf numFmtId="44" fontId="0" fillId="0" borderId="18" xfId="0" applyNumberFormat="1" applyFill="1" applyBorder="1" applyAlignment="1" applyProtection="1">
      <alignment vertical="center"/>
    </xf>
    <xf numFmtId="43" fontId="0" fillId="0" borderId="0" xfId="0" applyNumberFormat="1"/>
    <xf numFmtId="43" fontId="0" fillId="0" borderId="18" xfId="0" applyNumberFormat="1" applyFill="1" applyBorder="1" applyAlignment="1" applyProtection="1">
      <alignment vertical="center"/>
    </xf>
    <xf numFmtId="44" fontId="74" fillId="0" borderId="44" xfId="46643" applyFont="1" applyFill="1" applyBorder="1" applyAlignment="1">
      <alignment vertical="center" wrapText="1"/>
    </xf>
    <xf numFmtId="44" fontId="74" fillId="0" borderId="45" xfId="46643" applyFont="1" applyFill="1" applyBorder="1" applyAlignment="1">
      <alignment vertical="center" wrapText="1"/>
    </xf>
    <xf numFmtId="44" fontId="74" fillId="0" borderId="48" xfId="46643" applyFont="1" applyFill="1" applyBorder="1" applyAlignment="1">
      <alignment vertical="center" wrapText="1"/>
    </xf>
    <xf numFmtId="44" fontId="74" fillId="0" borderId="19" xfId="46643" applyFont="1" applyFill="1" applyBorder="1" applyAlignment="1">
      <alignment vertical="center" wrapText="1"/>
    </xf>
    <xf numFmtId="0" fontId="74" fillId="0" borderId="50" xfId="46642" applyFont="1" applyFill="1" applyBorder="1" applyAlignment="1">
      <alignment vertical="center" wrapText="1"/>
    </xf>
    <xf numFmtId="10" fontId="75" fillId="0" borderId="11" xfId="46644" applyNumberFormat="1" applyFont="1" applyFill="1" applyBorder="1" applyAlignment="1">
      <alignment vertical="center" wrapText="1"/>
    </xf>
    <xf numFmtId="10" fontId="74" fillId="0" borderId="11" xfId="46644" applyNumberFormat="1" applyFont="1" applyFill="1" applyBorder="1" applyAlignment="1">
      <alignment vertical="center" wrapText="1"/>
    </xf>
    <xf numFmtId="0" fontId="74" fillId="0" borderId="53" xfId="46642" applyFont="1" applyFill="1" applyBorder="1" applyAlignment="1">
      <alignment vertical="center" wrapText="1"/>
    </xf>
    <xf numFmtId="10" fontId="74" fillId="0" borderId="54" xfId="46644" applyNumberFormat="1" applyFont="1" applyFill="1" applyBorder="1" applyAlignment="1">
      <alignment vertical="center" wrapText="1"/>
    </xf>
    <xf numFmtId="188" fontId="2" fillId="0" borderId="0" xfId="46653" applyNumberFormat="1"/>
    <xf numFmtId="0" fontId="76" fillId="0" borderId="41" xfId="46642" applyFont="1" applyBorder="1" applyAlignment="1">
      <alignment horizontal="center" vertical="center" wrapText="1"/>
    </xf>
    <xf numFmtId="188" fontId="2" fillId="0" borderId="0" xfId="46653" applyNumberFormat="1" applyFill="1"/>
    <xf numFmtId="188" fontId="0" fillId="0" borderId="0" xfId="0" applyNumberFormat="1"/>
    <xf numFmtId="0" fontId="0" fillId="0" borderId="0" xfId="0" applyFont="1"/>
    <xf numFmtId="0" fontId="1" fillId="0" borderId="0" xfId="46645" applyFont="1"/>
    <xf numFmtId="44" fontId="0" fillId="0" borderId="16" xfId="2" applyNumberFormat="1" applyFont="1" applyBorder="1" applyAlignment="1" applyProtection="1">
      <alignment vertical="center"/>
    </xf>
    <xf numFmtId="0" fontId="78"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78" fillId="0" borderId="0" xfId="4" applyFont="1" applyFill="1" applyBorder="1" applyAlignment="1" applyProtection="1">
      <alignment vertical="center"/>
    </xf>
    <xf numFmtId="0" fontId="31" fillId="0" borderId="0" xfId="4" applyFont="1" applyFill="1" applyBorder="1" applyAlignment="1" applyProtection="1">
      <alignment vertical="center"/>
    </xf>
    <xf numFmtId="0" fontId="31" fillId="0" borderId="0" xfId="0" applyFont="1" applyFill="1" applyBorder="1" applyProtection="1"/>
    <xf numFmtId="0" fontId="0" fillId="0" borderId="0" xfId="0" applyFill="1" applyBorder="1" applyProtection="1"/>
    <xf numFmtId="0" fontId="23" fillId="0" borderId="0" xfId="4" applyFill="1" applyBorder="1" applyProtection="1"/>
    <xf numFmtId="0" fontId="0" fillId="0" borderId="19" xfId="0" applyFill="1" applyBorder="1" applyAlignment="1" applyProtection="1">
      <alignment vertical="top"/>
    </xf>
    <xf numFmtId="0" fontId="0" fillId="0" borderId="27" xfId="0" applyFill="1" applyBorder="1" applyAlignment="1" applyProtection="1">
      <alignment vertical="center"/>
    </xf>
    <xf numFmtId="0" fontId="23" fillId="0" borderId="19" xfId="0" applyFont="1" applyFill="1" applyBorder="1" applyAlignment="1" applyProtection="1">
      <alignment vertical="center"/>
    </xf>
    <xf numFmtId="0" fontId="23" fillId="0" borderId="27" xfId="0" applyFont="1" applyFill="1" applyBorder="1" applyAlignment="1" applyProtection="1">
      <alignment vertical="center"/>
    </xf>
    <xf numFmtId="0" fontId="25" fillId="0" borderId="27" xfId="0" applyFont="1" applyBorder="1" applyAlignment="1" applyProtection="1">
      <alignment horizontal="left" vertical="top" wrapText="1" indent="1"/>
    </xf>
    <xf numFmtId="0" fontId="0" fillId="0" borderId="27" xfId="0" applyBorder="1" applyAlignment="1" applyProtection="1">
      <alignment vertical="top"/>
    </xf>
    <xf numFmtId="44" fontId="25" fillId="0" borderId="16" xfId="4" applyNumberFormat="1" applyFont="1" applyFill="1" applyBorder="1" applyAlignment="1" applyProtection="1">
      <alignment vertical="center"/>
    </xf>
    <xf numFmtId="44" fontId="25" fillId="0" borderId="16" xfId="0" applyNumberFormat="1" applyFont="1" applyFill="1" applyBorder="1" applyAlignment="1" applyProtection="1">
      <alignment vertical="center"/>
    </xf>
    <xf numFmtId="44" fontId="25" fillId="39" borderId="23" xfId="2" applyFont="1" applyFill="1" applyBorder="1" applyAlignment="1" applyProtection="1">
      <alignment vertical="center"/>
    </xf>
    <xf numFmtId="10" fontId="25" fillId="0" borderId="20" xfId="3" applyNumberFormat="1" applyFont="1" applyFill="1" applyBorder="1" applyAlignment="1" applyProtection="1">
      <alignment vertical="center"/>
    </xf>
    <xf numFmtId="44" fontId="25" fillId="0" borderId="19" xfId="0" applyNumberFormat="1" applyFont="1" applyFill="1" applyBorder="1" applyAlignment="1" applyProtection="1">
      <alignment vertical="center"/>
    </xf>
    <xf numFmtId="44" fontId="25" fillId="0" borderId="20" xfId="0" applyNumberFormat="1" applyFont="1" applyFill="1" applyBorder="1" applyAlignment="1" applyProtection="1">
      <alignment vertical="center"/>
    </xf>
    <xf numFmtId="44" fontId="25" fillId="0" borderId="28" xfId="0" applyNumberFormat="1" applyFont="1" applyFill="1" applyBorder="1" applyAlignment="1" applyProtection="1">
      <alignment vertical="center"/>
    </xf>
    <xf numFmtId="44" fontId="0" fillId="0" borderId="21" xfId="0" applyNumberFormat="1" applyFont="1" applyFill="1" applyBorder="1" applyAlignment="1" applyProtection="1">
      <alignment vertical="center"/>
    </xf>
    <xf numFmtId="44" fontId="25" fillId="39" borderId="25" xfId="4" applyNumberFormat="1" applyFont="1" applyFill="1" applyBorder="1" applyAlignment="1" applyProtection="1">
      <alignment vertical="center"/>
    </xf>
    <xf numFmtId="0" fontId="4" fillId="66" borderId="0" xfId="46642" applyFill="1"/>
    <xf numFmtId="0" fontId="73" fillId="0" borderId="43" xfId="46642" applyFont="1" applyFill="1" applyBorder="1" applyAlignment="1">
      <alignment vertical="center" wrapText="1"/>
    </xf>
    <xf numFmtId="0" fontId="73" fillId="0" borderId="47" xfId="46642" applyFont="1" applyFill="1" applyBorder="1" applyAlignment="1">
      <alignment vertical="center" wrapText="1"/>
    </xf>
    <xf numFmtId="0" fontId="73" fillId="0" borderId="49" xfId="46642" applyFont="1" applyFill="1" applyBorder="1" applyAlignment="1">
      <alignment vertical="center" wrapText="1"/>
    </xf>
    <xf numFmtId="0" fontId="73" fillId="0" borderId="52" xfId="46642" applyFont="1" applyFill="1" applyBorder="1" applyAlignment="1">
      <alignment vertical="center" wrapText="1"/>
    </xf>
    <xf numFmtId="191" fontId="0" fillId="34" borderId="18" xfId="2" applyNumberFormat="1" applyFont="1" applyFill="1" applyBorder="1" applyAlignment="1" applyProtection="1">
      <alignment vertical="center"/>
      <protection locked="0"/>
    </xf>
    <xf numFmtId="0" fontId="0" fillId="0" borderId="18" xfId="0" applyNumberFormat="1" applyFill="1" applyBorder="1" applyAlignment="1" applyProtection="1">
      <alignment vertical="center"/>
    </xf>
    <xf numFmtId="0" fontId="29" fillId="0" borderId="0" xfId="39597" applyFont="1" applyProtection="1"/>
    <xf numFmtId="0" fontId="0" fillId="0" borderId="0" xfId="0" applyBorder="1" applyAlignment="1" applyProtection="1">
      <alignment vertical="center"/>
    </xf>
    <xf numFmtId="191" fontId="0" fillId="34" borderId="18" xfId="2" applyNumberFormat="1" applyFont="1" applyFill="1" applyBorder="1" applyAlignment="1" applyProtection="1">
      <alignment vertical="top"/>
      <protection locked="0"/>
    </xf>
    <xf numFmtId="0" fontId="20" fillId="0" borderId="0" xfId="46649" applyFont="1" applyFill="1"/>
    <xf numFmtId="43" fontId="77" fillId="0" borderId="0" xfId="46650" applyFont="1" applyFill="1"/>
    <xf numFmtId="0" fontId="20" fillId="0" borderId="0" xfId="46645" applyFont="1" applyFill="1"/>
    <xf numFmtId="190" fontId="77" fillId="0" borderId="0" xfId="46653" applyNumberFormat="1" applyFont="1" applyFill="1"/>
    <xf numFmtId="190" fontId="2" fillId="0" borderId="0" xfId="46653" applyNumberFormat="1" applyFill="1"/>
    <xf numFmtId="2" fontId="2" fillId="0" borderId="0" xfId="46653" applyNumberFormat="1" applyFill="1"/>
    <xf numFmtId="187" fontId="2" fillId="0" borderId="0" xfId="46653" applyNumberFormat="1" applyFill="1"/>
    <xf numFmtId="0" fontId="0" fillId="0" borderId="0" xfId="0" applyFont="1" applyFill="1"/>
    <xf numFmtId="190" fontId="0" fillId="0" borderId="0" xfId="0" applyNumberFormat="1" applyFill="1"/>
    <xf numFmtId="187" fontId="1" fillId="0" borderId="0" xfId="46653" applyNumberFormat="1" applyFont="1" applyFill="1"/>
    <xf numFmtId="190" fontId="1" fillId="0" borderId="0" xfId="46653" applyNumberFormat="1" applyFont="1" applyFill="1"/>
    <xf numFmtId="0" fontId="1" fillId="0" borderId="0" xfId="46645" applyFont="1" applyFill="1"/>
    <xf numFmtId="188" fontId="1" fillId="0" borderId="0" xfId="46653" applyNumberFormat="1" applyFont="1" applyFill="1"/>
    <xf numFmtId="2" fontId="1" fillId="0" borderId="0" xfId="46653" applyNumberFormat="1" applyFont="1" applyFill="1"/>
    <xf numFmtId="187" fontId="1" fillId="0" borderId="0" xfId="46645" applyNumberFormat="1" applyFont="1" applyFill="1"/>
    <xf numFmtId="189" fontId="1" fillId="0" borderId="0" xfId="46653" applyNumberFormat="1" applyFont="1" applyFill="1"/>
    <xf numFmtId="0" fontId="77" fillId="0" borderId="0" xfId="46645" applyFont="1" applyFill="1"/>
    <xf numFmtId="0" fontId="77" fillId="0" borderId="0" xfId="46645" applyFont="1"/>
    <xf numFmtId="0" fontId="79" fillId="0" borderId="0" xfId="46645" applyFont="1"/>
    <xf numFmtId="0" fontId="73" fillId="0" borderId="42" xfId="46642" applyFont="1" applyFill="1" applyBorder="1" applyAlignment="1">
      <alignment horizontal="center" vertical="center" wrapText="1"/>
    </xf>
    <xf numFmtId="0" fontId="73" fillId="0" borderId="46" xfId="46642" applyFont="1" applyFill="1" applyBorder="1" applyAlignment="1">
      <alignment horizontal="center" vertical="center" wrapText="1"/>
    </xf>
    <xf numFmtId="0" fontId="73" fillId="0" borderId="51" xfId="46642" applyFont="1" applyFill="1" applyBorder="1" applyAlignment="1">
      <alignment horizontal="center" vertical="center" wrapText="1"/>
    </xf>
    <xf numFmtId="0" fontId="20" fillId="0" borderId="22" xfId="46642" applyFont="1" applyBorder="1" applyAlignment="1">
      <alignment horizontal="center"/>
    </xf>
    <xf numFmtId="0" fontId="20" fillId="0" borderId="23" xfId="46642" applyFont="1" applyBorder="1" applyAlignment="1">
      <alignment horizontal="center"/>
    </xf>
    <xf numFmtId="0" fontId="25" fillId="0" borderId="0" xfId="0" applyFont="1" applyAlignment="1" applyProtection="1">
      <alignment horizontal="center" wrapText="1"/>
    </xf>
    <xf numFmtId="0" fontId="0" fillId="0" borderId="0" xfId="0" applyAlignment="1">
      <alignment horizontal="center" wrapText="1"/>
    </xf>
    <xf numFmtId="0" fontId="25" fillId="0" borderId="18" xfId="0" applyFont="1" applyFill="1" applyBorder="1" applyAlignment="1" applyProtection="1">
      <alignment horizontal="center" wrapText="1"/>
    </xf>
    <xf numFmtId="0" fontId="0" fillId="0" borderId="19" xfId="0" applyBorder="1" applyAlignment="1">
      <alignment wrapText="1"/>
    </xf>
    <xf numFmtId="0" fontId="25" fillId="0" borderId="16" xfId="0" applyFont="1" applyFill="1" applyBorder="1" applyAlignment="1" applyProtection="1">
      <alignment horizontal="center" wrapText="1"/>
    </xf>
    <xf numFmtId="0" fontId="0" fillId="0" borderId="20" xfId="0" applyBorder="1" applyAlignment="1">
      <alignment wrapText="1"/>
    </xf>
    <xf numFmtId="0" fontId="27" fillId="33" borderId="0" xfId="0" applyFont="1" applyFill="1" applyBorder="1" applyAlignment="1" applyProtection="1">
      <alignment horizontal="left" indent="7"/>
    </xf>
    <xf numFmtId="0" fontId="28" fillId="34" borderId="0" xfId="0" applyFont="1" applyFill="1" applyAlignment="1" applyProtection="1">
      <alignment horizontal="left" vertical="center"/>
    </xf>
    <xf numFmtId="0" fontId="25" fillId="0" borderId="12" xfId="0" applyFont="1" applyBorder="1" applyAlignment="1" applyProtection="1">
      <alignment horizontal="center"/>
    </xf>
    <xf numFmtId="0" fontId="25" fillId="0" borderId="13" xfId="0" applyFont="1" applyBorder="1" applyAlignment="1" applyProtection="1">
      <alignment horizontal="center"/>
    </xf>
    <xf numFmtId="0" fontId="25" fillId="0" borderId="14" xfId="0" applyFont="1" applyBorder="1" applyAlignment="1" applyProtection="1">
      <alignment horizontal="center"/>
    </xf>
    <xf numFmtId="0" fontId="25" fillId="0" borderId="15" xfId="0" applyFont="1" applyFill="1" applyBorder="1" applyAlignment="1" applyProtection="1">
      <alignment horizontal="center" wrapText="1"/>
    </xf>
    <xf numFmtId="0" fontId="25" fillId="0" borderId="19" xfId="0" applyFont="1" applyFill="1" applyBorder="1" applyAlignment="1" applyProtection="1">
      <alignment horizontal="center" wrapText="1"/>
    </xf>
  </cellXfs>
  <cellStyles count="46657">
    <cellStyle name="$" xfId="5"/>
    <cellStyle name="$ 2" xfId="6"/>
    <cellStyle name="$ 2 2" xfId="7"/>
    <cellStyle name="$ 3" xfId="8"/>
    <cellStyle name="$.00" xfId="9"/>
    <cellStyle name="$.00 2" xfId="10"/>
    <cellStyle name="$.00 2 2" xfId="11"/>
    <cellStyle name="$.00 3" xfId="12"/>
    <cellStyle name="$_9. Rev2Cost_GDPIPI" xfId="13"/>
    <cellStyle name="$_lists" xfId="14"/>
    <cellStyle name="$_lists_4. Current Monthly Fixed Charge" xfId="15"/>
    <cellStyle name="$_Sheet4" xfId="16"/>
    <cellStyle name="$M" xfId="17"/>
    <cellStyle name="$M 2" xfId="18"/>
    <cellStyle name="$M 2 2" xfId="19"/>
    <cellStyle name="$M 3" xfId="20"/>
    <cellStyle name="$M.00" xfId="21"/>
    <cellStyle name="$M.00 2" xfId="22"/>
    <cellStyle name="$M.00 2 2" xfId="23"/>
    <cellStyle name="$M.00 3" xfId="24"/>
    <cellStyle name="$M_9. Rev2Cost_GDPIPI" xfId="25"/>
    <cellStyle name="20% - Accent1 2" xfId="26"/>
    <cellStyle name="20% - Accent1 2 10" xfId="27"/>
    <cellStyle name="20% - Accent1 2 10 2" xfId="28"/>
    <cellStyle name="20% - Accent1 2 10 3" xfId="29"/>
    <cellStyle name="20% - Accent1 2 10 4" xfId="30"/>
    <cellStyle name="20% - Accent1 2 10 5" xfId="31"/>
    <cellStyle name="20% - Accent1 2 10 6" xfId="32"/>
    <cellStyle name="20% - Accent1 2 10 7" xfId="33"/>
    <cellStyle name="20% - Accent1 2 10 8" xfId="34"/>
    <cellStyle name="20% - Accent1 2 11" xfId="35"/>
    <cellStyle name="20% - Accent1 2 11 2" xfId="36"/>
    <cellStyle name="20% - Accent1 2 11 3" xfId="37"/>
    <cellStyle name="20% - Accent1 2 11 4" xfId="38"/>
    <cellStyle name="20% - Accent1 2 11 5" xfId="39"/>
    <cellStyle name="20% - Accent1 2 11 6" xfId="40"/>
    <cellStyle name="20% - Accent1 2 11 7" xfId="41"/>
    <cellStyle name="20% - Accent1 2 11 8" xfId="42"/>
    <cellStyle name="20% - Accent1 2 12" xfId="43"/>
    <cellStyle name="20% - Accent1 2 12 2" xfId="44"/>
    <cellStyle name="20% - Accent1 2 12 3" xfId="45"/>
    <cellStyle name="20% - Accent1 2 12 4" xfId="46"/>
    <cellStyle name="20% - Accent1 2 12 5" xfId="47"/>
    <cellStyle name="20% - Accent1 2 12 6" xfId="48"/>
    <cellStyle name="20% - Accent1 2 12 7" xfId="49"/>
    <cellStyle name="20% - Accent1 2 12 8" xfId="50"/>
    <cellStyle name="20% - Accent1 2 13" xfId="51"/>
    <cellStyle name="20% - Accent1 2 13 2" xfId="52"/>
    <cellStyle name="20% - Accent1 2 13 3" xfId="53"/>
    <cellStyle name="20% - Accent1 2 13 4" xfId="54"/>
    <cellStyle name="20% - Accent1 2 13 5" xfId="55"/>
    <cellStyle name="20% - Accent1 2 13 6" xfId="56"/>
    <cellStyle name="20% - Accent1 2 13 7" xfId="57"/>
    <cellStyle name="20% - Accent1 2 13 8" xfId="58"/>
    <cellStyle name="20% - Accent1 2 14" xfId="59"/>
    <cellStyle name="20% - Accent1 2 14 2" xfId="60"/>
    <cellStyle name="20% - Accent1 2 14 3" xfId="61"/>
    <cellStyle name="20% - Accent1 2 14 4" xfId="62"/>
    <cellStyle name="20% - Accent1 2 14 5" xfId="63"/>
    <cellStyle name="20% - Accent1 2 14 6" xfId="64"/>
    <cellStyle name="20% - Accent1 2 14 7" xfId="65"/>
    <cellStyle name="20% - Accent1 2 14 8" xfId="66"/>
    <cellStyle name="20% - Accent1 2 15" xfId="67"/>
    <cellStyle name="20% - Accent1 2 15 2" xfId="68"/>
    <cellStyle name="20% - Accent1 2 15 3" xfId="69"/>
    <cellStyle name="20% - Accent1 2 15 4" xfId="70"/>
    <cellStyle name="20% - Accent1 2 15 5" xfId="71"/>
    <cellStyle name="20% - Accent1 2 15 6" xfId="72"/>
    <cellStyle name="20% - Accent1 2 15 7" xfId="73"/>
    <cellStyle name="20% - Accent1 2 15 8" xfId="74"/>
    <cellStyle name="20% - Accent1 2 16" xfId="75"/>
    <cellStyle name="20% - Accent1 2 16 2" xfId="76"/>
    <cellStyle name="20% - Accent1 2 16 3" xfId="77"/>
    <cellStyle name="20% - Accent1 2 16 4" xfId="78"/>
    <cellStyle name="20% - Accent1 2 16 5" xfId="79"/>
    <cellStyle name="20% - Accent1 2 16 6" xfId="80"/>
    <cellStyle name="20% - Accent1 2 16 7" xfId="81"/>
    <cellStyle name="20% - Accent1 2 16 8" xfId="82"/>
    <cellStyle name="20% - Accent1 2 17" xfId="83"/>
    <cellStyle name="20% - Accent1 2 17 2" xfId="84"/>
    <cellStyle name="20% - Accent1 2 17 3" xfId="85"/>
    <cellStyle name="20% - Accent1 2 17 4" xfId="86"/>
    <cellStyle name="20% - Accent1 2 17 5" xfId="87"/>
    <cellStyle name="20% - Accent1 2 17 6" xfId="88"/>
    <cellStyle name="20% - Accent1 2 17 7" xfId="89"/>
    <cellStyle name="20% - Accent1 2 17 8" xfId="90"/>
    <cellStyle name="20% - Accent1 2 18" xfId="91"/>
    <cellStyle name="20% - Accent1 2 18 2" xfId="92"/>
    <cellStyle name="20% - Accent1 2 18 3" xfId="93"/>
    <cellStyle name="20% - Accent1 2 18 4" xfId="94"/>
    <cellStyle name="20% - Accent1 2 18 5" xfId="95"/>
    <cellStyle name="20% - Accent1 2 18 6" xfId="96"/>
    <cellStyle name="20% - Accent1 2 18 7" xfId="97"/>
    <cellStyle name="20% - Accent1 2 18 8" xfId="98"/>
    <cellStyle name="20% - Accent1 2 19" xfId="99"/>
    <cellStyle name="20% - Accent1 2 2" xfId="100"/>
    <cellStyle name="20% - Accent1 2 2 2" xfId="101"/>
    <cellStyle name="20% - Accent1 2 2 3" xfId="102"/>
    <cellStyle name="20% - Accent1 2 2 4" xfId="103"/>
    <cellStyle name="20% - Accent1 2 2 5" xfId="104"/>
    <cellStyle name="20% - Accent1 2 2 6" xfId="105"/>
    <cellStyle name="20% - Accent1 2 2 7" xfId="106"/>
    <cellStyle name="20% - Accent1 2 2 8" xfId="107"/>
    <cellStyle name="20% - Accent1 2 20" xfId="108"/>
    <cellStyle name="20% - Accent1 2 21" xfId="109"/>
    <cellStyle name="20% - Accent1 2 22" xfId="110"/>
    <cellStyle name="20% - Accent1 2 23" xfId="111"/>
    <cellStyle name="20% - Accent1 2 24" xfId="112"/>
    <cellStyle name="20% - Accent1 2 25" xfId="113"/>
    <cellStyle name="20% - Accent1 2 26" xfId="114"/>
    <cellStyle name="20% - Accent1 2 27" xfId="115"/>
    <cellStyle name="20% - Accent1 2 28" xfId="116"/>
    <cellStyle name="20% - Accent1 2 29" xfId="117"/>
    <cellStyle name="20% - Accent1 2 3" xfId="118"/>
    <cellStyle name="20% - Accent1 2 3 2" xfId="119"/>
    <cellStyle name="20% - Accent1 2 3 3" xfId="120"/>
    <cellStyle name="20% - Accent1 2 3 4" xfId="121"/>
    <cellStyle name="20% - Accent1 2 3 5" xfId="122"/>
    <cellStyle name="20% - Accent1 2 3 6" xfId="123"/>
    <cellStyle name="20% - Accent1 2 3 7" xfId="124"/>
    <cellStyle name="20% - Accent1 2 3 8" xfId="125"/>
    <cellStyle name="20% - Accent1 2 30" xfId="126"/>
    <cellStyle name="20% - Accent1 2 31" xfId="127"/>
    <cellStyle name="20% - Accent1 2 32" xfId="128"/>
    <cellStyle name="20% - Accent1 2 33" xfId="129"/>
    <cellStyle name="20% - Accent1 2 34" xfId="130"/>
    <cellStyle name="20% - Accent1 2 35" xfId="131"/>
    <cellStyle name="20% - Accent1 2 36" xfId="132"/>
    <cellStyle name="20% - Accent1 2 37" xfId="133"/>
    <cellStyle name="20% - Accent1 2 38" xfId="134"/>
    <cellStyle name="20% - Accent1 2 4" xfId="135"/>
    <cellStyle name="20% - Accent1 2 4 2" xfId="136"/>
    <cellStyle name="20% - Accent1 2 4 3" xfId="137"/>
    <cellStyle name="20% - Accent1 2 4 4" xfId="138"/>
    <cellStyle name="20% - Accent1 2 4 5" xfId="139"/>
    <cellStyle name="20% - Accent1 2 4 6" xfId="140"/>
    <cellStyle name="20% - Accent1 2 4 7" xfId="141"/>
    <cellStyle name="20% - Accent1 2 4 8" xfId="142"/>
    <cellStyle name="20% - Accent1 2 5" xfId="143"/>
    <cellStyle name="20% - Accent1 2 5 2" xfId="144"/>
    <cellStyle name="20% - Accent1 2 5 3" xfId="145"/>
    <cellStyle name="20% - Accent1 2 5 4" xfId="146"/>
    <cellStyle name="20% - Accent1 2 5 5" xfId="147"/>
    <cellStyle name="20% - Accent1 2 5 6" xfId="148"/>
    <cellStyle name="20% - Accent1 2 5 7" xfId="149"/>
    <cellStyle name="20% - Accent1 2 5 8" xfId="150"/>
    <cellStyle name="20% - Accent1 2 6" xfId="151"/>
    <cellStyle name="20% - Accent1 2 6 2" xfId="152"/>
    <cellStyle name="20% - Accent1 2 6 3" xfId="153"/>
    <cellStyle name="20% - Accent1 2 6 4" xfId="154"/>
    <cellStyle name="20% - Accent1 2 6 5" xfId="155"/>
    <cellStyle name="20% - Accent1 2 6 6" xfId="156"/>
    <cellStyle name="20% - Accent1 2 6 7" xfId="157"/>
    <cellStyle name="20% - Accent1 2 6 8" xfId="158"/>
    <cellStyle name="20% - Accent1 2 7" xfId="159"/>
    <cellStyle name="20% - Accent1 2 7 2" xfId="160"/>
    <cellStyle name="20% - Accent1 2 7 3" xfId="161"/>
    <cellStyle name="20% - Accent1 2 7 4" xfId="162"/>
    <cellStyle name="20% - Accent1 2 7 5" xfId="163"/>
    <cellStyle name="20% - Accent1 2 7 6" xfId="164"/>
    <cellStyle name="20% - Accent1 2 7 7" xfId="165"/>
    <cellStyle name="20% - Accent1 2 7 8" xfId="166"/>
    <cellStyle name="20% - Accent1 2 8" xfId="167"/>
    <cellStyle name="20% - Accent1 2 8 2" xfId="168"/>
    <cellStyle name="20% - Accent1 2 8 3" xfId="169"/>
    <cellStyle name="20% - Accent1 2 8 4" xfId="170"/>
    <cellStyle name="20% - Accent1 2 8 5" xfId="171"/>
    <cellStyle name="20% - Accent1 2 8 6" xfId="172"/>
    <cellStyle name="20% - Accent1 2 8 7" xfId="173"/>
    <cellStyle name="20% - Accent1 2 8 8" xfId="174"/>
    <cellStyle name="20% - Accent1 2 9" xfId="175"/>
    <cellStyle name="20% - Accent1 2 9 2" xfId="176"/>
    <cellStyle name="20% - Accent1 2 9 3" xfId="177"/>
    <cellStyle name="20% - Accent1 2 9 4" xfId="178"/>
    <cellStyle name="20% - Accent1 2 9 5" xfId="179"/>
    <cellStyle name="20% - Accent1 2 9 6" xfId="180"/>
    <cellStyle name="20% - Accent1 2 9 7" xfId="181"/>
    <cellStyle name="20% - Accent1 2 9 8" xfId="182"/>
    <cellStyle name="20% - Accent1 3" xfId="183"/>
    <cellStyle name="20% - Accent1 3 10" xfId="184"/>
    <cellStyle name="20% - Accent1 3 10 2" xfId="185"/>
    <cellStyle name="20% - Accent1 3 10 3" xfId="186"/>
    <cellStyle name="20% - Accent1 3 10 4" xfId="187"/>
    <cellStyle name="20% - Accent1 3 10 5" xfId="188"/>
    <cellStyle name="20% - Accent1 3 10 6" xfId="189"/>
    <cellStyle name="20% - Accent1 3 10 7" xfId="190"/>
    <cellStyle name="20% - Accent1 3 10 8" xfId="191"/>
    <cellStyle name="20% - Accent1 3 11" xfId="192"/>
    <cellStyle name="20% - Accent1 3 11 2" xfId="193"/>
    <cellStyle name="20% - Accent1 3 11 3" xfId="194"/>
    <cellStyle name="20% - Accent1 3 11 4" xfId="195"/>
    <cellStyle name="20% - Accent1 3 11 5" xfId="196"/>
    <cellStyle name="20% - Accent1 3 11 6" xfId="197"/>
    <cellStyle name="20% - Accent1 3 11 7" xfId="198"/>
    <cellStyle name="20% - Accent1 3 11 8" xfId="199"/>
    <cellStyle name="20% - Accent1 3 12" xfId="200"/>
    <cellStyle name="20% - Accent1 3 12 2" xfId="201"/>
    <cellStyle name="20% - Accent1 3 12 3" xfId="202"/>
    <cellStyle name="20% - Accent1 3 12 4" xfId="203"/>
    <cellStyle name="20% - Accent1 3 12 5" xfId="204"/>
    <cellStyle name="20% - Accent1 3 12 6" xfId="205"/>
    <cellStyle name="20% - Accent1 3 12 7" xfId="206"/>
    <cellStyle name="20% - Accent1 3 12 8" xfId="207"/>
    <cellStyle name="20% - Accent1 3 13" xfId="208"/>
    <cellStyle name="20% - Accent1 3 13 2" xfId="209"/>
    <cellStyle name="20% - Accent1 3 13 3" xfId="210"/>
    <cellStyle name="20% - Accent1 3 13 4" xfId="211"/>
    <cellStyle name="20% - Accent1 3 13 5" xfId="212"/>
    <cellStyle name="20% - Accent1 3 13 6" xfId="213"/>
    <cellStyle name="20% - Accent1 3 13 7" xfId="214"/>
    <cellStyle name="20% - Accent1 3 13 8" xfId="215"/>
    <cellStyle name="20% - Accent1 3 14" xfId="216"/>
    <cellStyle name="20% - Accent1 3 14 2" xfId="217"/>
    <cellStyle name="20% - Accent1 3 14 3" xfId="218"/>
    <cellStyle name="20% - Accent1 3 14 4" xfId="219"/>
    <cellStyle name="20% - Accent1 3 14 5" xfId="220"/>
    <cellStyle name="20% - Accent1 3 14 6" xfId="221"/>
    <cellStyle name="20% - Accent1 3 14 7" xfId="222"/>
    <cellStyle name="20% - Accent1 3 14 8" xfId="223"/>
    <cellStyle name="20% - Accent1 3 15" xfId="224"/>
    <cellStyle name="20% - Accent1 3 15 2" xfId="225"/>
    <cellStyle name="20% - Accent1 3 15 3" xfId="226"/>
    <cellStyle name="20% - Accent1 3 15 4" xfId="227"/>
    <cellStyle name="20% - Accent1 3 15 5" xfId="228"/>
    <cellStyle name="20% - Accent1 3 15 6" xfId="229"/>
    <cellStyle name="20% - Accent1 3 15 7" xfId="230"/>
    <cellStyle name="20% - Accent1 3 15 8" xfId="231"/>
    <cellStyle name="20% - Accent1 3 16" xfId="232"/>
    <cellStyle name="20% - Accent1 3 16 2" xfId="233"/>
    <cellStyle name="20% - Accent1 3 16 3" xfId="234"/>
    <cellStyle name="20% - Accent1 3 16 4" xfId="235"/>
    <cellStyle name="20% - Accent1 3 16 5" xfId="236"/>
    <cellStyle name="20% - Accent1 3 16 6" xfId="237"/>
    <cellStyle name="20% - Accent1 3 16 7" xfId="238"/>
    <cellStyle name="20% - Accent1 3 16 8" xfId="239"/>
    <cellStyle name="20% - Accent1 3 17" xfId="240"/>
    <cellStyle name="20% - Accent1 3 17 2" xfId="241"/>
    <cellStyle name="20% - Accent1 3 17 3" xfId="242"/>
    <cellStyle name="20% - Accent1 3 17 4" xfId="243"/>
    <cellStyle name="20% - Accent1 3 17 5" xfId="244"/>
    <cellStyle name="20% - Accent1 3 17 6" xfId="245"/>
    <cellStyle name="20% - Accent1 3 17 7" xfId="246"/>
    <cellStyle name="20% - Accent1 3 17 8" xfId="247"/>
    <cellStyle name="20% - Accent1 3 18" xfId="248"/>
    <cellStyle name="20% - Accent1 3 18 2" xfId="249"/>
    <cellStyle name="20% - Accent1 3 18 3" xfId="250"/>
    <cellStyle name="20% - Accent1 3 18 4" xfId="251"/>
    <cellStyle name="20% - Accent1 3 18 5" xfId="252"/>
    <cellStyle name="20% - Accent1 3 18 6" xfId="253"/>
    <cellStyle name="20% - Accent1 3 18 7" xfId="254"/>
    <cellStyle name="20% - Accent1 3 18 8" xfId="255"/>
    <cellStyle name="20% - Accent1 3 19" xfId="256"/>
    <cellStyle name="20% - Accent1 3 2" xfId="257"/>
    <cellStyle name="20% - Accent1 3 2 2" xfId="258"/>
    <cellStyle name="20% - Accent1 3 2 3" xfId="259"/>
    <cellStyle name="20% - Accent1 3 2 4" xfId="260"/>
    <cellStyle name="20% - Accent1 3 2 5" xfId="261"/>
    <cellStyle name="20% - Accent1 3 2 6" xfId="262"/>
    <cellStyle name="20% - Accent1 3 2 7" xfId="263"/>
    <cellStyle name="20% - Accent1 3 2 8" xfId="264"/>
    <cellStyle name="20% - Accent1 3 20" xfId="265"/>
    <cellStyle name="20% - Accent1 3 21" xfId="266"/>
    <cellStyle name="20% - Accent1 3 22" xfId="267"/>
    <cellStyle name="20% - Accent1 3 23" xfId="268"/>
    <cellStyle name="20% - Accent1 3 24" xfId="269"/>
    <cellStyle name="20% - Accent1 3 25" xfId="270"/>
    <cellStyle name="20% - Accent1 3 26" xfId="271"/>
    <cellStyle name="20% - Accent1 3 27" xfId="272"/>
    <cellStyle name="20% - Accent1 3 28" xfId="273"/>
    <cellStyle name="20% - Accent1 3 29" xfId="274"/>
    <cellStyle name="20% - Accent1 3 3" xfId="275"/>
    <cellStyle name="20% - Accent1 3 3 2" xfId="276"/>
    <cellStyle name="20% - Accent1 3 3 3" xfId="277"/>
    <cellStyle name="20% - Accent1 3 3 4" xfId="278"/>
    <cellStyle name="20% - Accent1 3 3 5" xfId="279"/>
    <cellStyle name="20% - Accent1 3 3 6" xfId="280"/>
    <cellStyle name="20% - Accent1 3 3 7" xfId="281"/>
    <cellStyle name="20% - Accent1 3 3 8" xfId="282"/>
    <cellStyle name="20% - Accent1 3 30" xfId="283"/>
    <cellStyle name="20% - Accent1 3 31" xfId="284"/>
    <cellStyle name="20% - Accent1 3 32" xfId="285"/>
    <cellStyle name="20% - Accent1 3 33" xfId="286"/>
    <cellStyle name="20% - Accent1 3 34" xfId="287"/>
    <cellStyle name="20% - Accent1 3 35" xfId="288"/>
    <cellStyle name="20% - Accent1 3 4" xfId="289"/>
    <cellStyle name="20% - Accent1 3 4 2" xfId="290"/>
    <cellStyle name="20% - Accent1 3 4 3" xfId="291"/>
    <cellStyle name="20% - Accent1 3 4 4" xfId="292"/>
    <cellStyle name="20% - Accent1 3 4 5" xfId="293"/>
    <cellStyle name="20% - Accent1 3 4 6" xfId="294"/>
    <cellStyle name="20% - Accent1 3 4 7" xfId="295"/>
    <cellStyle name="20% - Accent1 3 4 8" xfId="296"/>
    <cellStyle name="20% - Accent1 3 5" xfId="297"/>
    <cellStyle name="20% - Accent1 3 5 2" xfId="298"/>
    <cellStyle name="20% - Accent1 3 5 3" xfId="299"/>
    <cellStyle name="20% - Accent1 3 5 4" xfId="300"/>
    <cellStyle name="20% - Accent1 3 5 5" xfId="301"/>
    <cellStyle name="20% - Accent1 3 5 6" xfId="302"/>
    <cellStyle name="20% - Accent1 3 5 7" xfId="303"/>
    <cellStyle name="20% - Accent1 3 5 8" xfId="304"/>
    <cellStyle name="20% - Accent1 3 6" xfId="305"/>
    <cellStyle name="20% - Accent1 3 6 2" xfId="306"/>
    <cellStyle name="20% - Accent1 3 6 3" xfId="307"/>
    <cellStyle name="20% - Accent1 3 6 4" xfId="308"/>
    <cellStyle name="20% - Accent1 3 6 5" xfId="309"/>
    <cellStyle name="20% - Accent1 3 6 6" xfId="310"/>
    <cellStyle name="20% - Accent1 3 6 7" xfId="311"/>
    <cellStyle name="20% - Accent1 3 6 8" xfId="312"/>
    <cellStyle name="20% - Accent1 3 7" xfId="313"/>
    <cellStyle name="20% - Accent1 3 7 2" xfId="314"/>
    <cellStyle name="20% - Accent1 3 7 3" xfId="315"/>
    <cellStyle name="20% - Accent1 3 7 4" xfId="316"/>
    <cellStyle name="20% - Accent1 3 7 5" xfId="317"/>
    <cellStyle name="20% - Accent1 3 7 6" xfId="318"/>
    <cellStyle name="20% - Accent1 3 7 7" xfId="319"/>
    <cellStyle name="20% - Accent1 3 7 8" xfId="320"/>
    <cellStyle name="20% - Accent1 3 8" xfId="321"/>
    <cellStyle name="20% - Accent1 3 8 2" xfId="322"/>
    <cellStyle name="20% - Accent1 3 8 3" xfId="323"/>
    <cellStyle name="20% - Accent1 3 8 4" xfId="324"/>
    <cellStyle name="20% - Accent1 3 8 5" xfId="325"/>
    <cellStyle name="20% - Accent1 3 8 6" xfId="326"/>
    <cellStyle name="20% - Accent1 3 8 7" xfId="327"/>
    <cellStyle name="20% - Accent1 3 8 8" xfId="328"/>
    <cellStyle name="20% - Accent1 3 9" xfId="329"/>
    <cellStyle name="20% - Accent1 3 9 2" xfId="330"/>
    <cellStyle name="20% - Accent1 3 9 3" xfId="331"/>
    <cellStyle name="20% - Accent1 3 9 4" xfId="332"/>
    <cellStyle name="20% - Accent1 3 9 5" xfId="333"/>
    <cellStyle name="20% - Accent1 3 9 6" xfId="334"/>
    <cellStyle name="20% - Accent1 3 9 7" xfId="335"/>
    <cellStyle name="20% - Accent1 3 9 8" xfId="336"/>
    <cellStyle name="20% - Accent1 4" xfId="337"/>
    <cellStyle name="20% - Accent1 4 10" xfId="338"/>
    <cellStyle name="20% - Accent1 4 10 2" xfId="339"/>
    <cellStyle name="20% - Accent1 4 10 3" xfId="340"/>
    <cellStyle name="20% - Accent1 4 10 4" xfId="341"/>
    <cellStyle name="20% - Accent1 4 10 5" xfId="342"/>
    <cellStyle name="20% - Accent1 4 10 6" xfId="343"/>
    <cellStyle name="20% - Accent1 4 10 7" xfId="344"/>
    <cellStyle name="20% - Accent1 4 10 8" xfId="345"/>
    <cellStyle name="20% - Accent1 4 11" xfId="346"/>
    <cellStyle name="20% - Accent1 4 11 2" xfId="347"/>
    <cellStyle name="20% - Accent1 4 11 3" xfId="348"/>
    <cellStyle name="20% - Accent1 4 11 4" xfId="349"/>
    <cellStyle name="20% - Accent1 4 11 5" xfId="350"/>
    <cellStyle name="20% - Accent1 4 11 6" xfId="351"/>
    <cellStyle name="20% - Accent1 4 11 7" xfId="352"/>
    <cellStyle name="20% - Accent1 4 11 8" xfId="353"/>
    <cellStyle name="20% - Accent1 4 12" xfId="354"/>
    <cellStyle name="20% - Accent1 4 12 2" xfId="355"/>
    <cellStyle name="20% - Accent1 4 12 3" xfId="356"/>
    <cellStyle name="20% - Accent1 4 12 4" xfId="357"/>
    <cellStyle name="20% - Accent1 4 12 5" xfId="358"/>
    <cellStyle name="20% - Accent1 4 12 6" xfId="359"/>
    <cellStyle name="20% - Accent1 4 12 7" xfId="360"/>
    <cellStyle name="20% - Accent1 4 12 8" xfId="361"/>
    <cellStyle name="20% - Accent1 4 13" xfId="362"/>
    <cellStyle name="20% - Accent1 4 13 2" xfId="363"/>
    <cellStyle name="20% - Accent1 4 13 3" xfId="364"/>
    <cellStyle name="20% - Accent1 4 13 4" xfId="365"/>
    <cellStyle name="20% - Accent1 4 13 5" xfId="366"/>
    <cellStyle name="20% - Accent1 4 13 6" xfId="367"/>
    <cellStyle name="20% - Accent1 4 13 7" xfId="368"/>
    <cellStyle name="20% - Accent1 4 13 8" xfId="369"/>
    <cellStyle name="20% - Accent1 4 14" xfId="370"/>
    <cellStyle name="20% - Accent1 4 14 2" xfId="371"/>
    <cellStyle name="20% - Accent1 4 14 3" xfId="372"/>
    <cellStyle name="20% - Accent1 4 14 4" xfId="373"/>
    <cellStyle name="20% - Accent1 4 14 5" xfId="374"/>
    <cellStyle name="20% - Accent1 4 14 6" xfId="375"/>
    <cellStyle name="20% - Accent1 4 14 7" xfId="376"/>
    <cellStyle name="20% - Accent1 4 14 8" xfId="377"/>
    <cellStyle name="20% - Accent1 4 15" xfId="378"/>
    <cellStyle name="20% - Accent1 4 15 2" xfId="379"/>
    <cellStyle name="20% - Accent1 4 15 3" xfId="380"/>
    <cellStyle name="20% - Accent1 4 15 4" xfId="381"/>
    <cellStyle name="20% - Accent1 4 15 5" xfId="382"/>
    <cellStyle name="20% - Accent1 4 15 6" xfId="383"/>
    <cellStyle name="20% - Accent1 4 15 7" xfId="384"/>
    <cellStyle name="20% - Accent1 4 15 8" xfId="385"/>
    <cellStyle name="20% - Accent1 4 16" xfId="386"/>
    <cellStyle name="20% - Accent1 4 16 2" xfId="387"/>
    <cellStyle name="20% - Accent1 4 16 3" xfId="388"/>
    <cellStyle name="20% - Accent1 4 16 4" xfId="389"/>
    <cellStyle name="20% - Accent1 4 16 5" xfId="390"/>
    <cellStyle name="20% - Accent1 4 16 6" xfId="391"/>
    <cellStyle name="20% - Accent1 4 16 7" xfId="392"/>
    <cellStyle name="20% - Accent1 4 16 8" xfId="393"/>
    <cellStyle name="20% - Accent1 4 17" xfId="394"/>
    <cellStyle name="20% - Accent1 4 17 2" xfId="395"/>
    <cellStyle name="20% - Accent1 4 17 3" xfId="396"/>
    <cellStyle name="20% - Accent1 4 17 4" xfId="397"/>
    <cellStyle name="20% - Accent1 4 17 5" xfId="398"/>
    <cellStyle name="20% - Accent1 4 17 6" xfId="399"/>
    <cellStyle name="20% - Accent1 4 17 7" xfId="400"/>
    <cellStyle name="20% - Accent1 4 17 8" xfId="401"/>
    <cellStyle name="20% - Accent1 4 18" xfId="402"/>
    <cellStyle name="20% - Accent1 4 18 2" xfId="403"/>
    <cellStyle name="20% - Accent1 4 18 3" xfId="404"/>
    <cellStyle name="20% - Accent1 4 18 4" xfId="405"/>
    <cellStyle name="20% - Accent1 4 18 5" xfId="406"/>
    <cellStyle name="20% - Accent1 4 18 6" xfId="407"/>
    <cellStyle name="20% - Accent1 4 18 7" xfId="408"/>
    <cellStyle name="20% - Accent1 4 18 8" xfId="409"/>
    <cellStyle name="20% - Accent1 4 19" xfId="410"/>
    <cellStyle name="20% - Accent1 4 2" xfId="411"/>
    <cellStyle name="20% - Accent1 4 2 2" xfId="412"/>
    <cellStyle name="20% - Accent1 4 2 3" xfId="413"/>
    <cellStyle name="20% - Accent1 4 2 4" xfId="414"/>
    <cellStyle name="20% - Accent1 4 2 5" xfId="415"/>
    <cellStyle name="20% - Accent1 4 2 6" xfId="416"/>
    <cellStyle name="20% - Accent1 4 2 7" xfId="417"/>
    <cellStyle name="20% - Accent1 4 2 8" xfId="418"/>
    <cellStyle name="20% - Accent1 4 20" xfId="419"/>
    <cellStyle name="20% - Accent1 4 21" xfId="420"/>
    <cellStyle name="20% - Accent1 4 22" xfId="421"/>
    <cellStyle name="20% - Accent1 4 23" xfId="422"/>
    <cellStyle name="20% - Accent1 4 24" xfId="423"/>
    <cellStyle name="20% - Accent1 4 25" xfId="424"/>
    <cellStyle name="20% - Accent1 4 26" xfId="425"/>
    <cellStyle name="20% - Accent1 4 27" xfId="426"/>
    <cellStyle name="20% - Accent1 4 28" xfId="427"/>
    <cellStyle name="20% - Accent1 4 29" xfId="428"/>
    <cellStyle name="20% - Accent1 4 3" xfId="429"/>
    <cellStyle name="20% - Accent1 4 3 2" xfId="430"/>
    <cellStyle name="20% - Accent1 4 3 3" xfId="431"/>
    <cellStyle name="20% - Accent1 4 3 4" xfId="432"/>
    <cellStyle name="20% - Accent1 4 3 5" xfId="433"/>
    <cellStyle name="20% - Accent1 4 3 6" xfId="434"/>
    <cellStyle name="20% - Accent1 4 3 7" xfId="435"/>
    <cellStyle name="20% - Accent1 4 3 8" xfId="436"/>
    <cellStyle name="20% - Accent1 4 30" xfId="437"/>
    <cellStyle name="20% - Accent1 4 31" xfId="438"/>
    <cellStyle name="20% - Accent1 4 32" xfId="439"/>
    <cellStyle name="20% - Accent1 4 33" xfId="440"/>
    <cellStyle name="20% - Accent1 4 34" xfId="441"/>
    <cellStyle name="20% - Accent1 4 35" xfId="442"/>
    <cellStyle name="20% - Accent1 4 4" xfId="443"/>
    <cellStyle name="20% - Accent1 4 4 2" xfId="444"/>
    <cellStyle name="20% - Accent1 4 4 3" xfId="445"/>
    <cellStyle name="20% - Accent1 4 4 4" xfId="446"/>
    <cellStyle name="20% - Accent1 4 4 5" xfId="447"/>
    <cellStyle name="20% - Accent1 4 4 6" xfId="448"/>
    <cellStyle name="20% - Accent1 4 4 7" xfId="449"/>
    <cellStyle name="20% - Accent1 4 4 8" xfId="450"/>
    <cellStyle name="20% - Accent1 4 5" xfId="451"/>
    <cellStyle name="20% - Accent1 4 5 2" xfId="452"/>
    <cellStyle name="20% - Accent1 4 5 3" xfId="453"/>
    <cellStyle name="20% - Accent1 4 5 4" xfId="454"/>
    <cellStyle name="20% - Accent1 4 5 5" xfId="455"/>
    <cellStyle name="20% - Accent1 4 5 6" xfId="456"/>
    <cellStyle name="20% - Accent1 4 5 7" xfId="457"/>
    <cellStyle name="20% - Accent1 4 5 8" xfId="458"/>
    <cellStyle name="20% - Accent1 4 6" xfId="459"/>
    <cellStyle name="20% - Accent1 4 6 2" xfId="460"/>
    <cellStyle name="20% - Accent1 4 6 3" xfId="461"/>
    <cellStyle name="20% - Accent1 4 6 4" xfId="462"/>
    <cellStyle name="20% - Accent1 4 6 5" xfId="463"/>
    <cellStyle name="20% - Accent1 4 6 6" xfId="464"/>
    <cellStyle name="20% - Accent1 4 6 7" xfId="465"/>
    <cellStyle name="20% - Accent1 4 6 8" xfId="466"/>
    <cellStyle name="20% - Accent1 4 7" xfId="467"/>
    <cellStyle name="20% - Accent1 4 7 2" xfId="468"/>
    <cellStyle name="20% - Accent1 4 7 3" xfId="469"/>
    <cellStyle name="20% - Accent1 4 7 4" xfId="470"/>
    <cellStyle name="20% - Accent1 4 7 5" xfId="471"/>
    <cellStyle name="20% - Accent1 4 7 6" xfId="472"/>
    <cellStyle name="20% - Accent1 4 7 7" xfId="473"/>
    <cellStyle name="20% - Accent1 4 7 8" xfId="474"/>
    <cellStyle name="20% - Accent1 4 8" xfId="475"/>
    <cellStyle name="20% - Accent1 4 8 2" xfId="476"/>
    <cellStyle name="20% - Accent1 4 8 3" xfId="477"/>
    <cellStyle name="20% - Accent1 4 8 4" xfId="478"/>
    <cellStyle name="20% - Accent1 4 8 5" xfId="479"/>
    <cellStyle name="20% - Accent1 4 8 6" xfId="480"/>
    <cellStyle name="20% - Accent1 4 8 7" xfId="481"/>
    <cellStyle name="20% - Accent1 4 8 8" xfId="482"/>
    <cellStyle name="20% - Accent1 4 9" xfId="483"/>
    <cellStyle name="20% - Accent1 4 9 2" xfId="484"/>
    <cellStyle name="20% - Accent1 4 9 3" xfId="485"/>
    <cellStyle name="20% - Accent1 4 9 4" xfId="486"/>
    <cellStyle name="20% - Accent1 4 9 5" xfId="487"/>
    <cellStyle name="20% - Accent1 4 9 6" xfId="488"/>
    <cellStyle name="20% - Accent1 4 9 7" xfId="489"/>
    <cellStyle name="20% - Accent1 4 9 8" xfId="490"/>
    <cellStyle name="20% - Accent1 5" xfId="491"/>
    <cellStyle name="20% - Accent1 5 10" xfId="492"/>
    <cellStyle name="20% - Accent1 5 10 2" xfId="493"/>
    <cellStyle name="20% - Accent1 5 10 3" xfId="494"/>
    <cellStyle name="20% - Accent1 5 10 4" xfId="495"/>
    <cellStyle name="20% - Accent1 5 10 5" xfId="496"/>
    <cellStyle name="20% - Accent1 5 10 6" xfId="497"/>
    <cellStyle name="20% - Accent1 5 10 7" xfId="498"/>
    <cellStyle name="20% - Accent1 5 10 8" xfId="499"/>
    <cellStyle name="20% - Accent1 5 11" xfId="500"/>
    <cellStyle name="20% - Accent1 5 11 2" xfId="501"/>
    <cellStyle name="20% - Accent1 5 11 3" xfId="502"/>
    <cellStyle name="20% - Accent1 5 11 4" xfId="503"/>
    <cellStyle name="20% - Accent1 5 11 5" xfId="504"/>
    <cellStyle name="20% - Accent1 5 11 6" xfId="505"/>
    <cellStyle name="20% - Accent1 5 11 7" xfId="506"/>
    <cellStyle name="20% - Accent1 5 11 8" xfId="507"/>
    <cellStyle name="20% - Accent1 5 12" xfId="508"/>
    <cellStyle name="20% - Accent1 5 12 2" xfId="509"/>
    <cellStyle name="20% - Accent1 5 12 3" xfId="510"/>
    <cellStyle name="20% - Accent1 5 12 4" xfId="511"/>
    <cellStyle name="20% - Accent1 5 12 5" xfId="512"/>
    <cellStyle name="20% - Accent1 5 12 6" xfId="513"/>
    <cellStyle name="20% - Accent1 5 12 7" xfId="514"/>
    <cellStyle name="20% - Accent1 5 12 8" xfId="515"/>
    <cellStyle name="20% - Accent1 5 13" xfId="516"/>
    <cellStyle name="20% - Accent1 5 13 2" xfId="517"/>
    <cellStyle name="20% - Accent1 5 13 3" xfId="518"/>
    <cellStyle name="20% - Accent1 5 13 4" xfId="519"/>
    <cellStyle name="20% - Accent1 5 13 5" xfId="520"/>
    <cellStyle name="20% - Accent1 5 13 6" xfId="521"/>
    <cellStyle name="20% - Accent1 5 13 7" xfId="522"/>
    <cellStyle name="20% - Accent1 5 13 8" xfId="523"/>
    <cellStyle name="20% - Accent1 5 14" xfId="524"/>
    <cellStyle name="20% - Accent1 5 14 2" xfId="525"/>
    <cellStyle name="20% - Accent1 5 14 3" xfId="526"/>
    <cellStyle name="20% - Accent1 5 14 4" xfId="527"/>
    <cellStyle name="20% - Accent1 5 14 5" xfId="528"/>
    <cellStyle name="20% - Accent1 5 14 6" xfId="529"/>
    <cellStyle name="20% - Accent1 5 14 7" xfId="530"/>
    <cellStyle name="20% - Accent1 5 14 8" xfId="531"/>
    <cellStyle name="20% - Accent1 5 15" xfId="532"/>
    <cellStyle name="20% - Accent1 5 15 2" xfId="533"/>
    <cellStyle name="20% - Accent1 5 15 3" xfId="534"/>
    <cellStyle name="20% - Accent1 5 15 4" xfId="535"/>
    <cellStyle name="20% - Accent1 5 15 5" xfId="536"/>
    <cellStyle name="20% - Accent1 5 15 6" xfId="537"/>
    <cellStyle name="20% - Accent1 5 15 7" xfId="538"/>
    <cellStyle name="20% - Accent1 5 15 8" xfId="539"/>
    <cellStyle name="20% - Accent1 5 16" xfId="540"/>
    <cellStyle name="20% - Accent1 5 16 2" xfId="541"/>
    <cellStyle name="20% - Accent1 5 16 3" xfId="542"/>
    <cellStyle name="20% - Accent1 5 16 4" xfId="543"/>
    <cellStyle name="20% - Accent1 5 16 5" xfId="544"/>
    <cellStyle name="20% - Accent1 5 16 6" xfId="545"/>
    <cellStyle name="20% - Accent1 5 16 7" xfId="546"/>
    <cellStyle name="20% - Accent1 5 16 8" xfId="547"/>
    <cellStyle name="20% - Accent1 5 17" xfId="548"/>
    <cellStyle name="20% - Accent1 5 17 2" xfId="549"/>
    <cellStyle name="20% - Accent1 5 17 3" xfId="550"/>
    <cellStyle name="20% - Accent1 5 17 4" xfId="551"/>
    <cellStyle name="20% - Accent1 5 17 5" xfId="552"/>
    <cellStyle name="20% - Accent1 5 17 6" xfId="553"/>
    <cellStyle name="20% - Accent1 5 17 7" xfId="554"/>
    <cellStyle name="20% - Accent1 5 17 8" xfId="555"/>
    <cellStyle name="20% - Accent1 5 18" xfId="556"/>
    <cellStyle name="20% - Accent1 5 18 2" xfId="557"/>
    <cellStyle name="20% - Accent1 5 18 3" xfId="558"/>
    <cellStyle name="20% - Accent1 5 18 4" xfId="559"/>
    <cellStyle name="20% - Accent1 5 18 5" xfId="560"/>
    <cellStyle name="20% - Accent1 5 18 6" xfId="561"/>
    <cellStyle name="20% - Accent1 5 18 7" xfId="562"/>
    <cellStyle name="20% - Accent1 5 18 8" xfId="563"/>
    <cellStyle name="20% - Accent1 5 19" xfId="564"/>
    <cellStyle name="20% - Accent1 5 2" xfId="565"/>
    <cellStyle name="20% - Accent1 5 2 2" xfId="566"/>
    <cellStyle name="20% - Accent1 5 2 3" xfId="567"/>
    <cellStyle name="20% - Accent1 5 2 4" xfId="568"/>
    <cellStyle name="20% - Accent1 5 2 5" xfId="569"/>
    <cellStyle name="20% - Accent1 5 2 6" xfId="570"/>
    <cellStyle name="20% - Accent1 5 2 7" xfId="571"/>
    <cellStyle name="20% - Accent1 5 2 8" xfId="572"/>
    <cellStyle name="20% - Accent1 5 20" xfId="573"/>
    <cellStyle name="20% - Accent1 5 21" xfId="574"/>
    <cellStyle name="20% - Accent1 5 22" xfId="575"/>
    <cellStyle name="20% - Accent1 5 23" xfId="576"/>
    <cellStyle name="20% - Accent1 5 24" xfId="577"/>
    <cellStyle name="20% - Accent1 5 25" xfId="578"/>
    <cellStyle name="20% - Accent1 5 26" xfId="579"/>
    <cellStyle name="20% - Accent1 5 27" xfId="580"/>
    <cellStyle name="20% - Accent1 5 28" xfId="581"/>
    <cellStyle name="20% - Accent1 5 29" xfId="582"/>
    <cellStyle name="20% - Accent1 5 3" xfId="583"/>
    <cellStyle name="20% - Accent1 5 3 2" xfId="584"/>
    <cellStyle name="20% - Accent1 5 3 3" xfId="585"/>
    <cellStyle name="20% - Accent1 5 3 4" xfId="586"/>
    <cellStyle name="20% - Accent1 5 3 5" xfId="587"/>
    <cellStyle name="20% - Accent1 5 3 6" xfId="588"/>
    <cellStyle name="20% - Accent1 5 3 7" xfId="589"/>
    <cellStyle name="20% - Accent1 5 3 8" xfId="590"/>
    <cellStyle name="20% - Accent1 5 30" xfId="591"/>
    <cellStyle name="20% - Accent1 5 31" xfId="592"/>
    <cellStyle name="20% - Accent1 5 32" xfId="593"/>
    <cellStyle name="20% - Accent1 5 33" xfId="594"/>
    <cellStyle name="20% - Accent1 5 34" xfId="595"/>
    <cellStyle name="20% - Accent1 5 35" xfId="596"/>
    <cellStyle name="20% - Accent1 5 4" xfId="597"/>
    <cellStyle name="20% - Accent1 5 4 2" xfId="598"/>
    <cellStyle name="20% - Accent1 5 4 3" xfId="599"/>
    <cellStyle name="20% - Accent1 5 4 4" xfId="600"/>
    <cellStyle name="20% - Accent1 5 4 5" xfId="601"/>
    <cellStyle name="20% - Accent1 5 4 6" xfId="602"/>
    <cellStyle name="20% - Accent1 5 4 7" xfId="603"/>
    <cellStyle name="20% - Accent1 5 4 8" xfId="604"/>
    <cellStyle name="20% - Accent1 5 5" xfId="605"/>
    <cellStyle name="20% - Accent1 5 5 2" xfId="606"/>
    <cellStyle name="20% - Accent1 5 5 3" xfId="607"/>
    <cellStyle name="20% - Accent1 5 5 4" xfId="608"/>
    <cellStyle name="20% - Accent1 5 5 5" xfId="609"/>
    <cellStyle name="20% - Accent1 5 5 6" xfId="610"/>
    <cellStyle name="20% - Accent1 5 5 7" xfId="611"/>
    <cellStyle name="20% - Accent1 5 5 8" xfId="612"/>
    <cellStyle name="20% - Accent1 5 6" xfId="613"/>
    <cellStyle name="20% - Accent1 5 6 2" xfId="614"/>
    <cellStyle name="20% - Accent1 5 6 3" xfId="615"/>
    <cellStyle name="20% - Accent1 5 6 4" xfId="616"/>
    <cellStyle name="20% - Accent1 5 6 5" xfId="617"/>
    <cellStyle name="20% - Accent1 5 6 6" xfId="618"/>
    <cellStyle name="20% - Accent1 5 6 7" xfId="619"/>
    <cellStyle name="20% - Accent1 5 6 8" xfId="620"/>
    <cellStyle name="20% - Accent1 5 7" xfId="621"/>
    <cellStyle name="20% - Accent1 5 7 2" xfId="622"/>
    <cellStyle name="20% - Accent1 5 7 3" xfId="623"/>
    <cellStyle name="20% - Accent1 5 7 4" xfId="624"/>
    <cellStyle name="20% - Accent1 5 7 5" xfId="625"/>
    <cellStyle name="20% - Accent1 5 7 6" xfId="626"/>
    <cellStyle name="20% - Accent1 5 7 7" xfId="627"/>
    <cellStyle name="20% - Accent1 5 7 8" xfId="628"/>
    <cellStyle name="20% - Accent1 5 8" xfId="629"/>
    <cellStyle name="20% - Accent1 5 8 2" xfId="630"/>
    <cellStyle name="20% - Accent1 5 8 3" xfId="631"/>
    <cellStyle name="20% - Accent1 5 8 4" xfId="632"/>
    <cellStyle name="20% - Accent1 5 8 5" xfId="633"/>
    <cellStyle name="20% - Accent1 5 8 6" xfId="634"/>
    <cellStyle name="20% - Accent1 5 8 7" xfId="635"/>
    <cellStyle name="20% - Accent1 5 8 8" xfId="636"/>
    <cellStyle name="20% - Accent1 5 9" xfId="637"/>
    <cellStyle name="20% - Accent1 5 9 2" xfId="638"/>
    <cellStyle name="20% - Accent1 5 9 3" xfId="639"/>
    <cellStyle name="20% - Accent1 5 9 4" xfId="640"/>
    <cellStyle name="20% - Accent1 5 9 5" xfId="641"/>
    <cellStyle name="20% - Accent1 5 9 6" xfId="642"/>
    <cellStyle name="20% - Accent1 5 9 7" xfId="643"/>
    <cellStyle name="20% - Accent1 5 9 8" xfId="644"/>
    <cellStyle name="20% - Accent1 6" xfId="645"/>
    <cellStyle name="20% - Accent2 2" xfId="646"/>
    <cellStyle name="20% - Accent2 2 10" xfId="647"/>
    <cellStyle name="20% - Accent2 2 10 2" xfId="648"/>
    <cellStyle name="20% - Accent2 2 10 3" xfId="649"/>
    <cellStyle name="20% - Accent2 2 10 4" xfId="650"/>
    <cellStyle name="20% - Accent2 2 10 5" xfId="651"/>
    <cellStyle name="20% - Accent2 2 10 6" xfId="652"/>
    <cellStyle name="20% - Accent2 2 10 7" xfId="653"/>
    <cellStyle name="20% - Accent2 2 10 8" xfId="654"/>
    <cellStyle name="20% - Accent2 2 11" xfId="655"/>
    <cellStyle name="20% - Accent2 2 11 2" xfId="656"/>
    <cellStyle name="20% - Accent2 2 11 3" xfId="657"/>
    <cellStyle name="20% - Accent2 2 11 4" xfId="658"/>
    <cellStyle name="20% - Accent2 2 11 5" xfId="659"/>
    <cellStyle name="20% - Accent2 2 11 6" xfId="660"/>
    <cellStyle name="20% - Accent2 2 11 7" xfId="661"/>
    <cellStyle name="20% - Accent2 2 11 8" xfId="662"/>
    <cellStyle name="20% - Accent2 2 12" xfId="663"/>
    <cellStyle name="20% - Accent2 2 12 2" xfId="664"/>
    <cellStyle name="20% - Accent2 2 12 3" xfId="665"/>
    <cellStyle name="20% - Accent2 2 12 4" xfId="666"/>
    <cellStyle name="20% - Accent2 2 12 5" xfId="667"/>
    <cellStyle name="20% - Accent2 2 12 6" xfId="668"/>
    <cellStyle name="20% - Accent2 2 12 7" xfId="669"/>
    <cellStyle name="20% - Accent2 2 12 8" xfId="670"/>
    <cellStyle name="20% - Accent2 2 13" xfId="671"/>
    <cellStyle name="20% - Accent2 2 13 2" xfId="672"/>
    <cellStyle name="20% - Accent2 2 13 3" xfId="673"/>
    <cellStyle name="20% - Accent2 2 13 4" xfId="674"/>
    <cellStyle name="20% - Accent2 2 13 5" xfId="675"/>
    <cellStyle name="20% - Accent2 2 13 6" xfId="676"/>
    <cellStyle name="20% - Accent2 2 13 7" xfId="677"/>
    <cellStyle name="20% - Accent2 2 13 8" xfId="678"/>
    <cellStyle name="20% - Accent2 2 14" xfId="679"/>
    <cellStyle name="20% - Accent2 2 14 2" xfId="680"/>
    <cellStyle name="20% - Accent2 2 14 3" xfId="681"/>
    <cellStyle name="20% - Accent2 2 14 4" xfId="682"/>
    <cellStyle name="20% - Accent2 2 14 5" xfId="683"/>
    <cellStyle name="20% - Accent2 2 14 6" xfId="684"/>
    <cellStyle name="20% - Accent2 2 14 7" xfId="685"/>
    <cellStyle name="20% - Accent2 2 14 8" xfId="686"/>
    <cellStyle name="20% - Accent2 2 15" xfId="687"/>
    <cellStyle name="20% - Accent2 2 15 2" xfId="688"/>
    <cellStyle name="20% - Accent2 2 15 3" xfId="689"/>
    <cellStyle name="20% - Accent2 2 15 4" xfId="690"/>
    <cellStyle name="20% - Accent2 2 15 5" xfId="691"/>
    <cellStyle name="20% - Accent2 2 15 6" xfId="692"/>
    <cellStyle name="20% - Accent2 2 15 7" xfId="693"/>
    <cellStyle name="20% - Accent2 2 15 8" xfId="694"/>
    <cellStyle name="20% - Accent2 2 16" xfId="695"/>
    <cellStyle name="20% - Accent2 2 16 2" xfId="696"/>
    <cellStyle name="20% - Accent2 2 16 3" xfId="697"/>
    <cellStyle name="20% - Accent2 2 16 4" xfId="698"/>
    <cellStyle name="20% - Accent2 2 16 5" xfId="699"/>
    <cellStyle name="20% - Accent2 2 16 6" xfId="700"/>
    <cellStyle name="20% - Accent2 2 16 7" xfId="701"/>
    <cellStyle name="20% - Accent2 2 16 8" xfId="702"/>
    <cellStyle name="20% - Accent2 2 17" xfId="703"/>
    <cellStyle name="20% - Accent2 2 17 2" xfId="704"/>
    <cellStyle name="20% - Accent2 2 17 3" xfId="705"/>
    <cellStyle name="20% - Accent2 2 17 4" xfId="706"/>
    <cellStyle name="20% - Accent2 2 17 5" xfId="707"/>
    <cellStyle name="20% - Accent2 2 17 6" xfId="708"/>
    <cellStyle name="20% - Accent2 2 17 7" xfId="709"/>
    <cellStyle name="20% - Accent2 2 17 8" xfId="710"/>
    <cellStyle name="20% - Accent2 2 18" xfId="711"/>
    <cellStyle name="20% - Accent2 2 18 2" xfId="712"/>
    <cellStyle name="20% - Accent2 2 18 3" xfId="713"/>
    <cellStyle name="20% - Accent2 2 18 4" xfId="714"/>
    <cellStyle name="20% - Accent2 2 18 5" xfId="715"/>
    <cellStyle name="20% - Accent2 2 18 6" xfId="716"/>
    <cellStyle name="20% - Accent2 2 18 7" xfId="717"/>
    <cellStyle name="20% - Accent2 2 18 8" xfId="718"/>
    <cellStyle name="20% - Accent2 2 19" xfId="719"/>
    <cellStyle name="20% - Accent2 2 2" xfId="720"/>
    <cellStyle name="20% - Accent2 2 2 2" xfId="721"/>
    <cellStyle name="20% - Accent2 2 2 3" xfId="722"/>
    <cellStyle name="20% - Accent2 2 2 4" xfId="723"/>
    <cellStyle name="20% - Accent2 2 2 5" xfId="724"/>
    <cellStyle name="20% - Accent2 2 2 6" xfId="725"/>
    <cellStyle name="20% - Accent2 2 2 7" xfId="726"/>
    <cellStyle name="20% - Accent2 2 2 8" xfId="727"/>
    <cellStyle name="20% - Accent2 2 20" xfId="728"/>
    <cellStyle name="20% - Accent2 2 21" xfId="729"/>
    <cellStyle name="20% - Accent2 2 22" xfId="730"/>
    <cellStyle name="20% - Accent2 2 23" xfId="731"/>
    <cellStyle name="20% - Accent2 2 24" xfId="732"/>
    <cellStyle name="20% - Accent2 2 25" xfId="733"/>
    <cellStyle name="20% - Accent2 2 26" xfId="734"/>
    <cellStyle name="20% - Accent2 2 27" xfId="735"/>
    <cellStyle name="20% - Accent2 2 28" xfId="736"/>
    <cellStyle name="20% - Accent2 2 29" xfId="737"/>
    <cellStyle name="20% - Accent2 2 3" xfId="738"/>
    <cellStyle name="20% - Accent2 2 3 2" xfId="739"/>
    <cellStyle name="20% - Accent2 2 3 3" xfId="740"/>
    <cellStyle name="20% - Accent2 2 3 4" xfId="741"/>
    <cellStyle name="20% - Accent2 2 3 5" xfId="742"/>
    <cellStyle name="20% - Accent2 2 3 6" xfId="743"/>
    <cellStyle name="20% - Accent2 2 3 7" xfId="744"/>
    <cellStyle name="20% - Accent2 2 3 8" xfId="745"/>
    <cellStyle name="20% - Accent2 2 30" xfId="746"/>
    <cellStyle name="20% - Accent2 2 31" xfId="747"/>
    <cellStyle name="20% - Accent2 2 32" xfId="748"/>
    <cellStyle name="20% - Accent2 2 33" xfId="749"/>
    <cellStyle name="20% - Accent2 2 34" xfId="750"/>
    <cellStyle name="20% - Accent2 2 35" xfId="751"/>
    <cellStyle name="20% - Accent2 2 36" xfId="752"/>
    <cellStyle name="20% - Accent2 2 37" xfId="753"/>
    <cellStyle name="20% - Accent2 2 38" xfId="754"/>
    <cellStyle name="20% - Accent2 2 4" xfId="755"/>
    <cellStyle name="20% - Accent2 2 4 2" xfId="756"/>
    <cellStyle name="20% - Accent2 2 4 3" xfId="757"/>
    <cellStyle name="20% - Accent2 2 4 4" xfId="758"/>
    <cellStyle name="20% - Accent2 2 4 5" xfId="759"/>
    <cellStyle name="20% - Accent2 2 4 6" xfId="760"/>
    <cellStyle name="20% - Accent2 2 4 7" xfId="761"/>
    <cellStyle name="20% - Accent2 2 4 8" xfId="762"/>
    <cellStyle name="20% - Accent2 2 5" xfId="763"/>
    <cellStyle name="20% - Accent2 2 5 2" xfId="764"/>
    <cellStyle name="20% - Accent2 2 5 3" xfId="765"/>
    <cellStyle name="20% - Accent2 2 5 4" xfId="766"/>
    <cellStyle name="20% - Accent2 2 5 5" xfId="767"/>
    <cellStyle name="20% - Accent2 2 5 6" xfId="768"/>
    <cellStyle name="20% - Accent2 2 5 7" xfId="769"/>
    <cellStyle name="20% - Accent2 2 5 8" xfId="770"/>
    <cellStyle name="20% - Accent2 2 6" xfId="771"/>
    <cellStyle name="20% - Accent2 2 6 2" xfId="772"/>
    <cellStyle name="20% - Accent2 2 6 3" xfId="773"/>
    <cellStyle name="20% - Accent2 2 6 4" xfId="774"/>
    <cellStyle name="20% - Accent2 2 6 5" xfId="775"/>
    <cellStyle name="20% - Accent2 2 6 6" xfId="776"/>
    <cellStyle name="20% - Accent2 2 6 7" xfId="777"/>
    <cellStyle name="20% - Accent2 2 6 8" xfId="778"/>
    <cellStyle name="20% - Accent2 2 7" xfId="779"/>
    <cellStyle name="20% - Accent2 2 7 2" xfId="780"/>
    <cellStyle name="20% - Accent2 2 7 3" xfId="781"/>
    <cellStyle name="20% - Accent2 2 7 4" xfId="782"/>
    <cellStyle name="20% - Accent2 2 7 5" xfId="783"/>
    <cellStyle name="20% - Accent2 2 7 6" xfId="784"/>
    <cellStyle name="20% - Accent2 2 7 7" xfId="785"/>
    <cellStyle name="20% - Accent2 2 7 8" xfId="786"/>
    <cellStyle name="20% - Accent2 2 8" xfId="787"/>
    <cellStyle name="20% - Accent2 2 8 2" xfId="788"/>
    <cellStyle name="20% - Accent2 2 8 3" xfId="789"/>
    <cellStyle name="20% - Accent2 2 8 4" xfId="790"/>
    <cellStyle name="20% - Accent2 2 8 5" xfId="791"/>
    <cellStyle name="20% - Accent2 2 8 6" xfId="792"/>
    <cellStyle name="20% - Accent2 2 8 7" xfId="793"/>
    <cellStyle name="20% - Accent2 2 8 8" xfId="794"/>
    <cellStyle name="20% - Accent2 2 9" xfId="795"/>
    <cellStyle name="20% - Accent2 2 9 2" xfId="796"/>
    <cellStyle name="20% - Accent2 2 9 3" xfId="797"/>
    <cellStyle name="20% - Accent2 2 9 4" xfId="798"/>
    <cellStyle name="20% - Accent2 2 9 5" xfId="799"/>
    <cellStyle name="20% - Accent2 2 9 6" xfId="800"/>
    <cellStyle name="20% - Accent2 2 9 7" xfId="801"/>
    <cellStyle name="20% - Accent2 2 9 8" xfId="802"/>
    <cellStyle name="20% - Accent2 3" xfId="803"/>
    <cellStyle name="20% - Accent2 3 10" xfId="804"/>
    <cellStyle name="20% - Accent2 3 10 2" xfId="805"/>
    <cellStyle name="20% - Accent2 3 10 3" xfId="806"/>
    <cellStyle name="20% - Accent2 3 10 4" xfId="807"/>
    <cellStyle name="20% - Accent2 3 10 5" xfId="808"/>
    <cellStyle name="20% - Accent2 3 10 6" xfId="809"/>
    <cellStyle name="20% - Accent2 3 10 7" xfId="810"/>
    <cellStyle name="20% - Accent2 3 10 8" xfId="811"/>
    <cellStyle name="20% - Accent2 3 11" xfId="812"/>
    <cellStyle name="20% - Accent2 3 11 2" xfId="813"/>
    <cellStyle name="20% - Accent2 3 11 3" xfId="814"/>
    <cellStyle name="20% - Accent2 3 11 4" xfId="815"/>
    <cellStyle name="20% - Accent2 3 11 5" xfId="816"/>
    <cellStyle name="20% - Accent2 3 11 6" xfId="817"/>
    <cellStyle name="20% - Accent2 3 11 7" xfId="818"/>
    <cellStyle name="20% - Accent2 3 11 8" xfId="819"/>
    <cellStyle name="20% - Accent2 3 12" xfId="820"/>
    <cellStyle name="20% - Accent2 3 12 2" xfId="821"/>
    <cellStyle name="20% - Accent2 3 12 3" xfId="822"/>
    <cellStyle name="20% - Accent2 3 12 4" xfId="823"/>
    <cellStyle name="20% - Accent2 3 12 5" xfId="824"/>
    <cellStyle name="20% - Accent2 3 12 6" xfId="825"/>
    <cellStyle name="20% - Accent2 3 12 7" xfId="826"/>
    <cellStyle name="20% - Accent2 3 12 8" xfId="827"/>
    <cellStyle name="20% - Accent2 3 13" xfId="828"/>
    <cellStyle name="20% - Accent2 3 13 2" xfId="829"/>
    <cellStyle name="20% - Accent2 3 13 3" xfId="830"/>
    <cellStyle name="20% - Accent2 3 13 4" xfId="831"/>
    <cellStyle name="20% - Accent2 3 13 5" xfId="832"/>
    <cellStyle name="20% - Accent2 3 13 6" xfId="833"/>
    <cellStyle name="20% - Accent2 3 13 7" xfId="834"/>
    <cellStyle name="20% - Accent2 3 13 8" xfId="835"/>
    <cellStyle name="20% - Accent2 3 14" xfId="836"/>
    <cellStyle name="20% - Accent2 3 14 2" xfId="837"/>
    <cellStyle name="20% - Accent2 3 14 3" xfId="838"/>
    <cellStyle name="20% - Accent2 3 14 4" xfId="839"/>
    <cellStyle name="20% - Accent2 3 14 5" xfId="840"/>
    <cellStyle name="20% - Accent2 3 14 6" xfId="841"/>
    <cellStyle name="20% - Accent2 3 14 7" xfId="842"/>
    <cellStyle name="20% - Accent2 3 14 8" xfId="843"/>
    <cellStyle name="20% - Accent2 3 15" xfId="844"/>
    <cellStyle name="20% - Accent2 3 15 2" xfId="845"/>
    <cellStyle name="20% - Accent2 3 15 3" xfId="846"/>
    <cellStyle name="20% - Accent2 3 15 4" xfId="847"/>
    <cellStyle name="20% - Accent2 3 15 5" xfId="848"/>
    <cellStyle name="20% - Accent2 3 15 6" xfId="849"/>
    <cellStyle name="20% - Accent2 3 15 7" xfId="850"/>
    <cellStyle name="20% - Accent2 3 15 8" xfId="851"/>
    <cellStyle name="20% - Accent2 3 16" xfId="852"/>
    <cellStyle name="20% - Accent2 3 16 2" xfId="853"/>
    <cellStyle name="20% - Accent2 3 16 3" xfId="854"/>
    <cellStyle name="20% - Accent2 3 16 4" xfId="855"/>
    <cellStyle name="20% - Accent2 3 16 5" xfId="856"/>
    <cellStyle name="20% - Accent2 3 16 6" xfId="857"/>
    <cellStyle name="20% - Accent2 3 16 7" xfId="858"/>
    <cellStyle name="20% - Accent2 3 16 8" xfId="859"/>
    <cellStyle name="20% - Accent2 3 17" xfId="860"/>
    <cellStyle name="20% - Accent2 3 17 2" xfId="861"/>
    <cellStyle name="20% - Accent2 3 17 3" xfId="862"/>
    <cellStyle name="20% - Accent2 3 17 4" xfId="863"/>
    <cellStyle name="20% - Accent2 3 17 5" xfId="864"/>
    <cellStyle name="20% - Accent2 3 17 6" xfId="865"/>
    <cellStyle name="20% - Accent2 3 17 7" xfId="866"/>
    <cellStyle name="20% - Accent2 3 17 8" xfId="867"/>
    <cellStyle name="20% - Accent2 3 18" xfId="868"/>
    <cellStyle name="20% - Accent2 3 18 2" xfId="869"/>
    <cellStyle name="20% - Accent2 3 18 3" xfId="870"/>
    <cellStyle name="20% - Accent2 3 18 4" xfId="871"/>
    <cellStyle name="20% - Accent2 3 18 5" xfId="872"/>
    <cellStyle name="20% - Accent2 3 18 6" xfId="873"/>
    <cellStyle name="20% - Accent2 3 18 7" xfId="874"/>
    <cellStyle name="20% - Accent2 3 18 8" xfId="875"/>
    <cellStyle name="20% - Accent2 3 19" xfId="876"/>
    <cellStyle name="20% - Accent2 3 2" xfId="877"/>
    <cellStyle name="20% - Accent2 3 2 2" xfId="878"/>
    <cellStyle name="20% - Accent2 3 2 3" xfId="879"/>
    <cellStyle name="20% - Accent2 3 2 4" xfId="880"/>
    <cellStyle name="20% - Accent2 3 2 5" xfId="881"/>
    <cellStyle name="20% - Accent2 3 2 6" xfId="882"/>
    <cellStyle name="20% - Accent2 3 2 7" xfId="883"/>
    <cellStyle name="20% - Accent2 3 2 8" xfId="884"/>
    <cellStyle name="20% - Accent2 3 20" xfId="885"/>
    <cellStyle name="20% - Accent2 3 21" xfId="886"/>
    <cellStyle name="20% - Accent2 3 22" xfId="887"/>
    <cellStyle name="20% - Accent2 3 23" xfId="888"/>
    <cellStyle name="20% - Accent2 3 24" xfId="889"/>
    <cellStyle name="20% - Accent2 3 25" xfId="890"/>
    <cellStyle name="20% - Accent2 3 26" xfId="891"/>
    <cellStyle name="20% - Accent2 3 27" xfId="892"/>
    <cellStyle name="20% - Accent2 3 28" xfId="893"/>
    <cellStyle name="20% - Accent2 3 29" xfId="894"/>
    <cellStyle name="20% - Accent2 3 3" xfId="895"/>
    <cellStyle name="20% - Accent2 3 3 2" xfId="896"/>
    <cellStyle name="20% - Accent2 3 3 3" xfId="897"/>
    <cellStyle name="20% - Accent2 3 3 4" xfId="898"/>
    <cellStyle name="20% - Accent2 3 3 5" xfId="899"/>
    <cellStyle name="20% - Accent2 3 3 6" xfId="900"/>
    <cellStyle name="20% - Accent2 3 3 7" xfId="901"/>
    <cellStyle name="20% - Accent2 3 3 8" xfId="902"/>
    <cellStyle name="20% - Accent2 3 30" xfId="903"/>
    <cellStyle name="20% - Accent2 3 31" xfId="904"/>
    <cellStyle name="20% - Accent2 3 32" xfId="905"/>
    <cellStyle name="20% - Accent2 3 33" xfId="906"/>
    <cellStyle name="20% - Accent2 3 34" xfId="907"/>
    <cellStyle name="20% - Accent2 3 35" xfId="908"/>
    <cellStyle name="20% - Accent2 3 4" xfId="909"/>
    <cellStyle name="20% - Accent2 3 4 2" xfId="910"/>
    <cellStyle name="20% - Accent2 3 4 3" xfId="911"/>
    <cellStyle name="20% - Accent2 3 4 4" xfId="912"/>
    <cellStyle name="20% - Accent2 3 4 5" xfId="913"/>
    <cellStyle name="20% - Accent2 3 4 6" xfId="914"/>
    <cellStyle name="20% - Accent2 3 4 7" xfId="915"/>
    <cellStyle name="20% - Accent2 3 4 8" xfId="916"/>
    <cellStyle name="20% - Accent2 3 5" xfId="917"/>
    <cellStyle name="20% - Accent2 3 5 2" xfId="918"/>
    <cellStyle name="20% - Accent2 3 5 3" xfId="919"/>
    <cellStyle name="20% - Accent2 3 5 4" xfId="920"/>
    <cellStyle name="20% - Accent2 3 5 5" xfId="921"/>
    <cellStyle name="20% - Accent2 3 5 6" xfId="922"/>
    <cellStyle name="20% - Accent2 3 5 7" xfId="923"/>
    <cellStyle name="20% - Accent2 3 5 8" xfId="924"/>
    <cellStyle name="20% - Accent2 3 6" xfId="925"/>
    <cellStyle name="20% - Accent2 3 6 2" xfId="926"/>
    <cellStyle name="20% - Accent2 3 6 3" xfId="927"/>
    <cellStyle name="20% - Accent2 3 6 4" xfId="928"/>
    <cellStyle name="20% - Accent2 3 6 5" xfId="929"/>
    <cellStyle name="20% - Accent2 3 6 6" xfId="930"/>
    <cellStyle name="20% - Accent2 3 6 7" xfId="931"/>
    <cellStyle name="20% - Accent2 3 6 8" xfId="932"/>
    <cellStyle name="20% - Accent2 3 7" xfId="933"/>
    <cellStyle name="20% - Accent2 3 7 2" xfId="934"/>
    <cellStyle name="20% - Accent2 3 7 3" xfId="935"/>
    <cellStyle name="20% - Accent2 3 7 4" xfId="936"/>
    <cellStyle name="20% - Accent2 3 7 5" xfId="937"/>
    <cellStyle name="20% - Accent2 3 7 6" xfId="938"/>
    <cellStyle name="20% - Accent2 3 7 7" xfId="939"/>
    <cellStyle name="20% - Accent2 3 7 8" xfId="940"/>
    <cellStyle name="20% - Accent2 3 8" xfId="941"/>
    <cellStyle name="20% - Accent2 3 8 2" xfId="942"/>
    <cellStyle name="20% - Accent2 3 8 3" xfId="943"/>
    <cellStyle name="20% - Accent2 3 8 4" xfId="944"/>
    <cellStyle name="20% - Accent2 3 8 5" xfId="945"/>
    <cellStyle name="20% - Accent2 3 8 6" xfId="946"/>
    <cellStyle name="20% - Accent2 3 8 7" xfId="947"/>
    <cellStyle name="20% - Accent2 3 8 8" xfId="948"/>
    <cellStyle name="20% - Accent2 3 9" xfId="949"/>
    <cellStyle name="20% - Accent2 3 9 2" xfId="950"/>
    <cellStyle name="20% - Accent2 3 9 3" xfId="951"/>
    <cellStyle name="20% - Accent2 3 9 4" xfId="952"/>
    <cellStyle name="20% - Accent2 3 9 5" xfId="953"/>
    <cellStyle name="20% - Accent2 3 9 6" xfId="954"/>
    <cellStyle name="20% - Accent2 3 9 7" xfId="955"/>
    <cellStyle name="20% - Accent2 3 9 8" xfId="956"/>
    <cellStyle name="20% - Accent2 4" xfId="957"/>
    <cellStyle name="20% - Accent2 4 10" xfId="958"/>
    <cellStyle name="20% - Accent2 4 10 2" xfId="959"/>
    <cellStyle name="20% - Accent2 4 10 3" xfId="960"/>
    <cellStyle name="20% - Accent2 4 10 4" xfId="961"/>
    <cellStyle name="20% - Accent2 4 10 5" xfId="962"/>
    <cellStyle name="20% - Accent2 4 10 6" xfId="963"/>
    <cellStyle name="20% - Accent2 4 10 7" xfId="964"/>
    <cellStyle name="20% - Accent2 4 10 8" xfId="965"/>
    <cellStyle name="20% - Accent2 4 11" xfId="966"/>
    <cellStyle name="20% - Accent2 4 11 2" xfId="967"/>
    <cellStyle name="20% - Accent2 4 11 3" xfId="968"/>
    <cellStyle name="20% - Accent2 4 11 4" xfId="969"/>
    <cellStyle name="20% - Accent2 4 11 5" xfId="970"/>
    <cellStyle name="20% - Accent2 4 11 6" xfId="971"/>
    <cellStyle name="20% - Accent2 4 11 7" xfId="972"/>
    <cellStyle name="20% - Accent2 4 11 8" xfId="973"/>
    <cellStyle name="20% - Accent2 4 12" xfId="974"/>
    <cellStyle name="20% - Accent2 4 12 2" xfId="975"/>
    <cellStyle name="20% - Accent2 4 12 3" xfId="976"/>
    <cellStyle name="20% - Accent2 4 12 4" xfId="977"/>
    <cellStyle name="20% - Accent2 4 12 5" xfId="978"/>
    <cellStyle name="20% - Accent2 4 12 6" xfId="979"/>
    <cellStyle name="20% - Accent2 4 12 7" xfId="980"/>
    <cellStyle name="20% - Accent2 4 12 8" xfId="981"/>
    <cellStyle name="20% - Accent2 4 13" xfId="982"/>
    <cellStyle name="20% - Accent2 4 13 2" xfId="983"/>
    <cellStyle name="20% - Accent2 4 13 3" xfId="984"/>
    <cellStyle name="20% - Accent2 4 13 4" xfId="985"/>
    <cellStyle name="20% - Accent2 4 13 5" xfId="986"/>
    <cellStyle name="20% - Accent2 4 13 6" xfId="987"/>
    <cellStyle name="20% - Accent2 4 13 7" xfId="988"/>
    <cellStyle name="20% - Accent2 4 13 8" xfId="989"/>
    <cellStyle name="20% - Accent2 4 14" xfId="990"/>
    <cellStyle name="20% - Accent2 4 14 2" xfId="991"/>
    <cellStyle name="20% - Accent2 4 14 3" xfId="992"/>
    <cellStyle name="20% - Accent2 4 14 4" xfId="993"/>
    <cellStyle name="20% - Accent2 4 14 5" xfId="994"/>
    <cellStyle name="20% - Accent2 4 14 6" xfId="995"/>
    <cellStyle name="20% - Accent2 4 14 7" xfId="996"/>
    <cellStyle name="20% - Accent2 4 14 8" xfId="997"/>
    <cellStyle name="20% - Accent2 4 15" xfId="998"/>
    <cellStyle name="20% - Accent2 4 15 2" xfId="999"/>
    <cellStyle name="20% - Accent2 4 15 3" xfId="1000"/>
    <cellStyle name="20% - Accent2 4 15 4" xfId="1001"/>
    <cellStyle name="20% - Accent2 4 15 5" xfId="1002"/>
    <cellStyle name="20% - Accent2 4 15 6" xfId="1003"/>
    <cellStyle name="20% - Accent2 4 15 7" xfId="1004"/>
    <cellStyle name="20% - Accent2 4 15 8" xfId="1005"/>
    <cellStyle name="20% - Accent2 4 16" xfId="1006"/>
    <cellStyle name="20% - Accent2 4 16 2" xfId="1007"/>
    <cellStyle name="20% - Accent2 4 16 3" xfId="1008"/>
    <cellStyle name="20% - Accent2 4 16 4" xfId="1009"/>
    <cellStyle name="20% - Accent2 4 16 5" xfId="1010"/>
    <cellStyle name="20% - Accent2 4 16 6" xfId="1011"/>
    <cellStyle name="20% - Accent2 4 16 7" xfId="1012"/>
    <cellStyle name="20% - Accent2 4 16 8" xfId="1013"/>
    <cellStyle name="20% - Accent2 4 17" xfId="1014"/>
    <cellStyle name="20% - Accent2 4 17 2" xfId="1015"/>
    <cellStyle name="20% - Accent2 4 17 3" xfId="1016"/>
    <cellStyle name="20% - Accent2 4 17 4" xfId="1017"/>
    <cellStyle name="20% - Accent2 4 17 5" xfId="1018"/>
    <cellStyle name="20% - Accent2 4 17 6" xfId="1019"/>
    <cellStyle name="20% - Accent2 4 17 7" xfId="1020"/>
    <cellStyle name="20% - Accent2 4 17 8" xfId="1021"/>
    <cellStyle name="20% - Accent2 4 18" xfId="1022"/>
    <cellStyle name="20% - Accent2 4 18 2" xfId="1023"/>
    <cellStyle name="20% - Accent2 4 18 3" xfId="1024"/>
    <cellStyle name="20% - Accent2 4 18 4" xfId="1025"/>
    <cellStyle name="20% - Accent2 4 18 5" xfId="1026"/>
    <cellStyle name="20% - Accent2 4 18 6" xfId="1027"/>
    <cellStyle name="20% - Accent2 4 18 7" xfId="1028"/>
    <cellStyle name="20% - Accent2 4 18 8" xfId="1029"/>
    <cellStyle name="20% - Accent2 4 19" xfId="1030"/>
    <cellStyle name="20% - Accent2 4 2" xfId="1031"/>
    <cellStyle name="20% - Accent2 4 2 2" xfId="1032"/>
    <cellStyle name="20% - Accent2 4 2 3" xfId="1033"/>
    <cellStyle name="20% - Accent2 4 2 4" xfId="1034"/>
    <cellStyle name="20% - Accent2 4 2 5" xfId="1035"/>
    <cellStyle name="20% - Accent2 4 2 6" xfId="1036"/>
    <cellStyle name="20% - Accent2 4 2 7" xfId="1037"/>
    <cellStyle name="20% - Accent2 4 2 8" xfId="1038"/>
    <cellStyle name="20% - Accent2 4 20" xfId="1039"/>
    <cellStyle name="20% - Accent2 4 21" xfId="1040"/>
    <cellStyle name="20% - Accent2 4 22" xfId="1041"/>
    <cellStyle name="20% - Accent2 4 23" xfId="1042"/>
    <cellStyle name="20% - Accent2 4 24" xfId="1043"/>
    <cellStyle name="20% - Accent2 4 25" xfId="1044"/>
    <cellStyle name="20% - Accent2 4 26" xfId="1045"/>
    <cellStyle name="20% - Accent2 4 27" xfId="1046"/>
    <cellStyle name="20% - Accent2 4 28" xfId="1047"/>
    <cellStyle name="20% - Accent2 4 29" xfId="1048"/>
    <cellStyle name="20% - Accent2 4 3" xfId="1049"/>
    <cellStyle name="20% - Accent2 4 3 2" xfId="1050"/>
    <cellStyle name="20% - Accent2 4 3 3" xfId="1051"/>
    <cellStyle name="20% - Accent2 4 3 4" xfId="1052"/>
    <cellStyle name="20% - Accent2 4 3 5" xfId="1053"/>
    <cellStyle name="20% - Accent2 4 3 6" xfId="1054"/>
    <cellStyle name="20% - Accent2 4 3 7" xfId="1055"/>
    <cellStyle name="20% - Accent2 4 3 8" xfId="1056"/>
    <cellStyle name="20% - Accent2 4 30" xfId="1057"/>
    <cellStyle name="20% - Accent2 4 31" xfId="1058"/>
    <cellStyle name="20% - Accent2 4 32" xfId="1059"/>
    <cellStyle name="20% - Accent2 4 33" xfId="1060"/>
    <cellStyle name="20% - Accent2 4 34" xfId="1061"/>
    <cellStyle name="20% - Accent2 4 35" xfId="1062"/>
    <cellStyle name="20% - Accent2 4 4" xfId="1063"/>
    <cellStyle name="20% - Accent2 4 4 2" xfId="1064"/>
    <cellStyle name="20% - Accent2 4 4 3" xfId="1065"/>
    <cellStyle name="20% - Accent2 4 4 4" xfId="1066"/>
    <cellStyle name="20% - Accent2 4 4 5" xfId="1067"/>
    <cellStyle name="20% - Accent2 4 4 6" xfId="1068"/>
    <cellStyle name="20% - Accent2 4 4 7" xfId="1069"/>
    <cellStyle name="20% - Accent2 4 4 8" xfId="1070"/>
    <cellStyle name="20% - Accent2 4 5" xfId="1071"/>
    <cellStyle name="20% - Accent2 4 5 2" xfId="1072"/>
    <cellStyle name="20% - Accent2 4 5 3" xfId="1073"/>
    <cellStyle name="20% - Accent2 4 5 4" xfId="1074"/>
    <cellStyle name="20% - Accent2 4 5 5" xfId="1075"/>
    <cellStyle name="20% - Accent2 4 5 6" xfId="1076"/>
    <cellStyle name="20% - Accent2 4 5 7" xfId="1077"/>
    <cellStyle name="20% - Accent2 4 5 8" xfId="1078"/>
    <cellStyle name="20% - Accent2 4 6" xfId="1079"/>
    <cellStyle name="20% - Accent2 4 6 2" xfId="1080"/>
    <cellStyle name="20% - Accent2 4 6 3" xfId="1081"/>
    <cellStyle name="20% - Accent2 4 6 4" xfId="1082"/>
    <cellStyle name="20% - Accent2 4 6 5" xfId="1083"/>
    <cellStyle name="20% - Accent2 4 6 6" xfId="1084"/>
    <cellStyle name="20% - Accent2 4 6 7" xfId="1085"/>
    <cellStyle name="20% - Accent2 4 6 8" xfId="1086"/>
    <cellStyle name="20% - Accent2 4 7" xfId="1087"/>
    <cellStyle name="20% - Accent2 4 7 2" xfId="1088"/>
    <cellStyle name="20% - Accent2 4 7 3" xfId="1089"/>
    <cellStyle name="20% - Accent2 4 7 4" xfId="1090"/>
    <cellStyle name="20% - Accent2 4 7 5" xfId="1091"/>
    <cellStyle name="20% - Accent2 4 7 6" xfId="1092"/>
    <cellStyle name="20% - Accent2 4 7 7" xfId="1093"/>
    <cellStyle name="20% - Accent2 4 7 8" xfId="1094"/>
    <cellStyle name="20% - Accent2 4 8" xfId="1095"/>
    <cellStyle name="20% - Accent2 4 8 2" xfId="1096"/>
    <cellStyle name="20% - Accent2 4 8 3" xfId="1097"/>
    <cellStyle name="20% - Accent2 4 8 4" xfId="1098"/>
    <cellStyle name="20% - Accent2 4 8 5" xfId="1099"/>
    <cellStyle name="20% - Accent2 4 8 6" xfId="1100"/>
    <cellStyle name="20% - Accent2 4 8 7" xfId="1101"/>
    <cellStyle name="20% - Accent2 4 8 8" xfId="1102"/>
    <cellStyle name="20% - Accent2 4 9" xfId="1103"/>
    <cellStyle name="20% - Accent2 4 9 2" xfId="1104"/>
    <cellStyle name="20% - Accent2 4 9 3" xfId="1105"/>
    <cellStyle name="20% - Accent2 4 9 4" xfId="1106"/>
    <cellStyle name="20% - Accent2 4 9 5" xfId="1107"/>
    <cellStyle name="20% - Accent2 4 9 6" xfId="1108"/>
    <cellStyle name="20% - Accent2 4 9 7" xfId="1109"/>
    <cellStyle name="20% - Accent2 4 9 8" xfId="1110"/>
    <cellStyle name="20% - Accent2 5" xfId="1111"/>
    <cellStyle name="20% - Accent2 5 10" xfId="1112"/>
    <cellStyle name="20% - Accent2 5 10 2" xfId="1113"/>
    <cellStyle name="20% - Accent2 5 10 3" xfId="1114"/>
    <cellStyle name="20% - Accent2 5 10 4" xfId="1115"/>
    <cellStyle name="20% - Accent2 5 10 5" xfId="1116"/>
    <cellStyle name="20% - Accent2 5 10 6" xfId="1117"/>
    <cellStyle name="20% - Accent2 5 10 7" xfId="1118"/>
    <cellStyle name="20% - Accent2 5 10 8" xfId="1119"/>
    <cellStyle name="20% - Accent2 5 11" xfId="1120"/>
    <cellStyle name="20% - Accent2 5 11 2" xfId="1121"/>
    <cellStyle name="20% - Accent2 5 11 3" xfId="1122"/>
    <cellStyle name="20% - Accent2 5 11 4" xfId="1123"/>
    <cellStyle name="20% - Accent2 5 11 5" xfId="1124"/>
    <cellStyle name="20% - Accent2 5 11 6" xfId="1125"/>
    <cellStyle name="20% - Accent2 5 11 7" xfId="1126"/>
    <cellStyle name="20% - Accent2 5 11 8" xfId="1127"/>
    <cellStyle name="20% - Accent2 5 12" xfId="1128"/>
    <cellStyle name="20% - Accent2 5 12 2" xfId="1129"/>
    <cellStyle name="20% - Accent2 5 12 3" xfId="1130"/>
    <cellStyle name="20% - Accent2 5 12 4" xfId="1131"/>
    <cellStyle name="20% - Accent2 5 12 5" xfId="1132"/>
    <cellStyle name="20% - Accent2 5 12 6" xfId="1133"/>
    <cellStyle name="20% - Accent2 5 12 7" xfId="1134"/>
    <cellStyle name="20% - Accent2 5 12 8" xfId="1135"/>
    <cellStyle name="20% - Accent2 5 13" xfId="1136"/>
    <cellStyle name="20% - Accent2 5 13 2" xfId="1137"/>
    <cellStyle name="20% - Accent2 5 13 3" xfId="1138"/>
    <cellStyle name="20% - Accent2 5 13 4" xfId="1139"/>
    <cellStyle name="20% - Accent2 5 13 5" xfId="1140"/>
    <cellStyle name="20% - Accent2 5 13 6" xfId="1141"/>
    <cellStyle name="20% - Accent2 5 13 7" xfId="1142"/>
    <cellStyle name="20% - Accent2 5 13 8" xfId="1143"/>
    <cellStyle name="20% - Accent2 5 14" xfId="1144"/>
    <cellStyle name="20% - Accent2 5 14 2" xfId="1145"/>
    <cellStyle name="20% - Accent2 5 14 3" xfId="1146"/>
    <cellStyle name="20% - Accent2 5 14 4" xfId="1147"/>
    <cellStyle name="20% - Accent2 5 14 5" xfId="1148"/>
    <cellStyle name="20% - Accent2 5 14 6" xfId="1149"/>
    <cellStyle name="20% - Accent2 5 14 7" xfId="1150"/>
    <cellStyle name="20% - Accent2 5 14 8" xfId="1151"/>
    <cellStyle name="20% - Accent2 5 15" xfId="1152"/>
    <cellStyle name="20% - Accent2 5 15 2" xfId="1153"/>
    <cellStyle name="20% - Accent2 5 15 3" xfId="1154"/>
    <cellStyle name="20% - Accent2 5 15 4" xfId="1155"/>
    <cellStyle name="20% - Accent2 5 15 5" xfId="1156"/>
    <cellStyle name="20% - Accent2 5 15 6" xfId="1157"/>
    <cellStyle name="20% - Accent2 5 15 7" xfId="1158"/>
    <cellStyle name="20% - Accent2 5 15 8" xfId="1159"/>
    <cellStyle name="20% - Accent2 5 16" xfId="1160"/>
    <cellStyle name="20% - Accent2 5 16 2" xfId="1161"/>
    <cellStyle name="20% - Accent2 5 16 3" xfId="1162"/>
    <cellStyle name="20% - Accent2 5 16 4" xfId="1163"/>
    <cellStyle name="20% - Accent2 5 16 5" xfId="1164"/>
    <cellStyle name="20% - Accent2 5 16 6" xfId="1165"/>
    <cellStyle name="20% - Accent2 5 16 7" xfId="1166"/>
    <cellStyle name="20% - Accent2 5 16 8" xfId="1167"/>
    <cellStyle name="20% - Accent2 5 17" xfId="1168"/>
    <cellStyle name="20% - Accent2 5 17 2" xfId="1169"/>
    <cellStyle name="20% - Accent2 5 17 3" xfId="1170"/>
    <cellStyle name="20% - Accent2 5 17 4" xfId="1171"/>
    <cellStyle name="20% - Accent2 5 17 5" xfId="1172"/>
    <cellStyle name="20% - Accent2 5 17 6" xfId="1173"/>
    <cellStyle name="20% - Accent2 5 17 7" xfId="1174"/>
    <cellStyle name="20% - Accent2 5 17 8" xfId="1175"/>
    <cellStyle name="20% - Accent2 5 18" xfId="1176"/>
    <cellStyle name="20% - Accent2 5 18 2" xfId="1177"/>
    <cellStyle name="20% - Accent2 5 18 3" xfId="1178"/>
    <cellStyle name="20% - Accent2 5 18 4" xfId="1179"/>
    <cellStyle name="20% - Accent2 5 18 5" xfId="1180"/>
    <cellStyle name="20% - Accent2 5 18 6" xfId="1181"/>
    <cellStyle name="20% - Accent2 5 18 7" xfId="1182"/>
    <cellStyle name="20% - Accent2 5 18 8" xfId="1183"/>
    <cellStyle name="20% - Accent2 5 19" xfId="1184"/>
    <cellStyle name="20% - Accent2 5 2" xfId="1185"/>
    <cellStyle name="20% - Accent2 5 2 2" xfId="1186"/>
    <cellStyle name="20% - Accent2 5 2 3" xfId="1187"/>
    <cellStyle name="20% - Accent2 5 2 4" xfId="1188"/>
    <cellStyle name="20% - Accent2 5 2 5" xfId="1189"/>
    <cellStyle name="20% - Accent2 5 2 6" xfId="1190"/>
    <cellStyle name="20% - Accent2 5 2 7" xfId="1191"/>
    <cellStyle name="20% - Accent2 5 2 8" xfId="1192"/>
    <cellStyle name="20% - Accent2 5 20" xfId="1193"/>
    <cellStyle name="20% - Accent2 5 21" xfId="1194"/>
    <cellStyle name="20% - Accent2 5 22" xfId="1195"/>
    <cellStyle name="20% - Accent2 5 23" xfId="1196"/>
    <cellStyle name="20% - Accent2 5 24" xfId="1197"/>
    <cellStyle name="20% - Accent2 5 25" xfId="1198"/>
    <cellStyle name="20% - Accent2 5 26" xfId="1199"/>
    <cellStyle name="20% - Accent2 5 27" xfId="1200"/>
    <cellStyle name="20% - Accent2 5 28" xfId="1201"/>
    <cellStyle name="20% - Accent2 5 29" xfId="1202"/>
    <cellStyle name="20% - Accent2 5 3" xfId="1203"/>
    <cellStyle name="20% - Accent2 5 3 2" xfId="1204"/>
    <cellStyle name="20% - Accent2 5 3 3" xfId="1205"/>
    <cellStyle name="20% - Accent2 5 3 4" xfId="1206"/>
    <cellStyle name="20% - Accent2 5 3 5" xfId="1207"/>
    <cellStyle name="20% - Accent2 5 3 6" xfId="1208"/>
    <cellStyle name="20% - Accent2 5 3 7" xfId="1209"/>
    <cellStyle name="20% - Accent2 5 3 8" xfId="1210"/>
    <cellStyle name="20% - Accent2 5 30" xfId="1211"/>
    <cellStyle name="20% - Accent2 5 31" xfId="1212"/>
    <cellStyle name="20% - Accent2 5 32" xfId="1213"/>
    <cellStyle name="20% - Accent2 5 33" xfId="1214"/>
    <cellStyle name="20% - Accent2 5 34" xfId="1215"/>
    <cellStyle name="20% - Accent2 5 35" xfId="1216"/>
    <cellStyle name="20% - Accent2 5 4" xfId="1217"/>
    <cellStyle name="20% - Accent2 5 4 2" xfId="1218"/>
    <cellStyle name="20% - Accent2 5 4 3" xfId="1219"/>
    <cellStyle name="20% - Accent2 5 4 4" xfId="1220"/>
    <cellStyle name="20% - Accent2 5 4 5" xfId="1221"/>
    <cellStyle name="20% - Accent2 5 4 6" xfId="1222"/>
    <cellStyle name="20% - Accent2 5 4 7" xfId="1223"/>
    <cellStyle name="20% - Accent2 5 4 8" xfId="1224"/>
    <cellStyle name="20% - Accent2 5 5" xfId="1225"/>
    <cellStyle name="20% - Accent2 5 5 2" xfId="1226"/>
    <cellStyle name="20% - Accent2 5 5 3" xfId="1227"/>
    <cellStyle name="20% - Accent2 5 5 4" xfId="1228"/>
    <cellStyle name="20% - Accent2 5 5 5" xfId="1229"/>
    <cellStyle name="20% - Accent2 5 5 6" xfId="1230"/>
    <cellStyle name="20% - Accent2 5 5 7" xfId="1231"/>
    <cellStyle name="20% - Accent2 5 5 8" xfId="1232"/>
    <cellStyle name="20% - Accent2 5 6" xfId="1233"/>
    <cellStyle name="20% - Accent2 5 6 2" xfId="1234"/>
    <cellStyle name="20% - Accent2 5 6 3" xfId="1235"/>
    <cellStyle name="20% - Accent2 5 6 4" xfId="1236"/>
    <cellStyle name="20% - Accent2 5 6 5" xfId="1237"/>
    <cellStyle name="20% - Accent2 5 6 6" xfId="1238"/>
    <cellStyle name="20% - Accent2 5 6 7" xfId="1239"/>
    <cellStyle name="20% - Accent2 5 6 8" xfId="1240"/>
    <cellStyle name="20% - Accent2 5 7" xfId="1241"/>
    <cellStyle name="20% - Accent2 5 7 2" xfId="1242"/>
    <cellStyle name="20% - Accent2 5 7 3" xfId="1243"/>
    <cellStyle name="20% - Accent2 5 7 4" xfId="1244"/>
    <cellStyle name="20% - Accent2 5 7 5" xfId="1245"/>
    <cellStyle name="20% - Accent2 5 7 6" xfId="1246"/>
    <cellStyle name="20% - Accent2 5 7 7" xfId="1247"/>
    <cellStyle name="20% - Accent2 5 7 8" xfId="1248"/>
    <cellStyle name="20% - Accent2 5 8" xfId="1249"/>
    <cellStyle name="20% - Accent2 5 8 2" xfId="1250"/>
    <cellStyle name="20% - Accent2 5 8 3" xfId="1251"/>
    <cellStyle name="20% - Accent2 5 8 4" xfId="1252"/>
    <cellStyle name="20% - Accent2 5 8 5" xfId="1253"/>
    <cellStyle name="20% - Accent2 5 8 6" xfId="1254"/>
    <cellStyle name="20% - Accent2 5 8 7" xfId="1255"/>
    <cellStyle name="20% - Accent2 5 8 8" xfId="1256"/>
    <cellStyle name="20% - Accent2 5 9" xfId="1257"/>
    <cellStyle name="20% - Accent2 5 9 2" xfId="1258"/>
    <cellStyle name="20% - Accent2 5 9 3" xfId="1259"/>
    <cellStyle name="20% - Accent2 5 9 4" xfId="1260"/>
    <cellStyle name="20% - Accent2 5 9 5" xfId="1261"/>
    <cellStyle name="20% - Accent2 5 9 6" xfId="1262"/>
    <cellStyle name="20% - Accent2 5 9 7" xfId="1263"/>
    <cellStyle name="20% - Accent2 5 9 8" xfId="1264"/>
    <cellStyle name="20% - Accent2 6" xfId="1265"/>
    <cellStyle name="20% - Accent3 2" xfId="1266"/>
    <cellStyle name="20% - Accent3 2 10" xfId="1267"/>
    <cellStyle name="20% - Accent3 2 10 2" xfId="1268"/>
    <cellStyle name="20% - Accent3 2 10 3" xfId="1269"/>
    <cellStyle name="20% - Accent3 2 10 4" xfId="1270"/>
    <cellStyle name="20% - Accent3 2 10 5" xfId="1271"/>
    <cellStyle name="20% - Accent3 2 10 6" xfId="1272"/>
    <cellStyle name="20% - Accent3 2 10 7" xfId="1273"/>
    <cellStyle name="20% - Accent3 2 10 8" xfId="1274"/>
    <cellStyle name="20% - Accent3 2 11" xfId="1275"/>
    <cellStyle name="20% - Accent3 2 11 2" xfId="1276"/>
    <cellStyle name="20% - Accent3 2 11 3" xfId="1277"/>
    <cellStyle name="20% - Accent3 2 11 4" xfId="1278"/>
    <cellStyle name="20% - Accent3 2 11 5" xfId="1279"/>
    <cellStyle name="20% - Accent3 2 11 6" xfId="1280"/>
    <cellStyle name="20% - Accent3 2 11 7" xfId="1281"/>
    <cellStyle name="20% - Accent3 2 11 8" xfId="1282"/>
    <cellStyle name="20% - Accent3 2 12" xfId="1283"/>
    <cellStyle name="20% - Accent3 2 12 2" xfId="1284"/>
    <cellStyle name="20% - Accent3 2 12 3" xfId="1285"/>
    <cellStyle name="20% - Accent3 2 12 4" xfId="1286"/>
    <cellStyle name="20% - Accent3 2 12 5" xfId="1287"/>
    <cellStyle name="20% - Accent3 2 12 6" xfId="1288"/>
    <cellStyle name="20% - Accent3 2 12 7" xfId="1289"/>
    <cellStyle name="20% - Accent3 2 12 8" xfId="1290"/>
    <cellStyle name="20% - Accent3 2 13" xfId="1291"/>
    <cellStyle name="20% - Accent3 2 13 2" xfId="1292"/>
    <cellStyle name="20% - Accent3 2 13 3" xfId="1293"/>
    <cellStyle name="20% - Accent3 2 13 4" xfId="1294"/>
    <cellStyle name="20% - Accent3 2 13 5" xfId="1295"/>
    <cellStyle name="20% - Accent3 2 13 6" xfId="1296"/>
    <cellStyle name="20% - Accent3 2 13 7" xfId="1297"/>
    <cellStyle name="20% - Accent3 2 13 8" xfId="1298"/>
    <cellStyle name="20% - Accent3 2 14" xfId="1299"/>
    <cellStyle name="20% - Accent3 2 14 2" xfId="1300"/>
    <cellStyle name="20% - Accent3 2 14 3" xfId="1301"/>
    <cellStyle name="20% - Accent3 2 14 4" xfId="1302"/>
    <cellStyle name="20% - Accent3 2 14 5" xfId="1303"/>
    <cellStyle name="20% - Accent3 2 14 6" xfId="1304"/>
    <cellStyle name="20% - Accent3 2 14 7" xfId="1305"/>
    <cellStyle name="20% - Accent3 2 14 8" xfId="1306"/>
    <cellStyle name="20% - Accent3 2 15" xfId="1307"/>
    <cellStyle name="20% - Accent3 2 15 2" xfId="1308"/>
    <cellStyle name="20% - Accent3 2 15 3" xfId="1309"/>
    <cellStyle name="20% - Accent3 2 15 4" xfId="1310"/>
    <cellStyle name="20% - Accent3 2 15 5" xfId="1311"/>
    <cellStyle name="20% - Accent3 2 15 6" xfId="1312"/>
    <cellStyle name="20% - Accent3 2 15 7" xfId="1313"/>
    <cellStyle name="20% - Accent3 2 15 8" xfId="1314"/>
    <cellStyle name="20% - Accent3 2 16" xfId="1315"/>
    <cellStyle name="20% - Accent3 2 16 2" xfId="1316"/>
    <cellStyle name="20% - Accent3 2 16 3" xfId="1317"/>
    <cellStyle name="20% - Accent3 2 16 4" xfId="1318"/>
    <cellStyle name="20% - Accent3 2 16 5" xfId="1319"/>
    <cellStyle name="20% - Accent3 2 16 6" xfId="1320"/>
    <cellStyle name="20% - Accent3 2 16 7" xfId="1321"/>
    <cellStyle name="20% - Accent3 2 16 8" xfId="1322"/>
    <cellStyle name="20% - Accent3 2 17" xfId="1323"/>
    <cellStyle name="20% - Accent3 2 17 2" xfId="1324"/>
    <cellStyle name="20% - Accent3 2 17 3" xfId="1325"/>
    <cellStyle name="20% - Accent3 2 17 4" xfId="1326"/>
    <cellStyle name="20% - Accent3 2 17 5" xfId="1327"/>
    <cellStyle name="20% - Accent3 2 17 6" xfId="1328"/>
    <cellStyle name="20% - Accent3 2 17 7" xfId="1329"/>
    <cellStyle name="20% - Accent3 2 17 8" xfId="1330"/>
    <cellStyle name="20% - Accent3 2 18" xfId="1331"/>
    <cellStyle name="20% - Accent3 2 18 2" xfId="1332"/>
    <cellStyle name="20% - Accent3 2 18 3" xfId="1333"/>
    <cellStyle name="20% - Accent3 2 18 4" xfId="1334"/>
    <cellStyle name="20% - Accent3 2 18 5" xfId="1335"/>
    <cellStyle name="20% - Accent3 2 18 6" xfId="1336"/>
    <cellStyle name="20% - Accent3 2 18 7" xfId="1337"/>
    <cellStyle name="20% - Accent3 2 18 8" xfId="1338"/>
    <cellStyle name="20% - Accent3 2 19" xfId="1339"/>
    <cellStyle name="20% - Accent3 2 2" xfId="1340"/>
    <cellStyle name="20% - Accent3 2 2 2" xfId="1341"/>
    <cellStyle name="20% - Accent3 2 2 3" xfId="1342"/>
    <cellStyle name="20% - Accent3 2 2 4" xfId="1343"/>
    <cellStyle name="20% - Accent3 2 2 5" xfId="1344"/>
    <cellStyle name="20% - Accent3 2 2 6" xfId="1345"/>
    <cellStyle name="20% - Accent3 2 2 7" xfId="1346"/>
    <cellStyle name="20% - Accent3 2 2 8" xfId="1347"/>
    <cellStyle name="20% - Accent3 2 20" xfId="1348"/>
    <cellStyle name="20% - Accent3 2 21" xfId="1349"/>
    <cellStyle name="20% - Accent3 2 22" xfId="1350"/>
    <cellStyle name="20% - Accent3 2 23" xfId="1351"/>
    <cellStyle name="20% - Accent3 2 24" xfId="1352"/>
    <cellStyle name="20% - Accent3 2 25" xfId="1353"/>
    <cellStyle name="20% - Accent3 2 26" xfId="1354"/>
    <cellStyle name="20% - Accent3 2 27" xfId="1355"/>
    <cellStyle name="20% - Accent3 2 28" xfId="1356"/>
    <cellStyle name="20% - Accent3 2 29" xfId="1357"/>
    <cellStyle name="20% - Accent3 2 3" xfId="1358"/>
    <cellStyle name="20% - Accent3 2 3 2" xfId="1359"/>
    <cellStyle name="20% - Accent3 2 3 3" xfId="1360"/>
    <cellStyle name="20% - Accent3 2 3 4" xfId="1361"/>
    <cellStyle name="20% - Accent3 2 3 5" xfId="1362"/>
    <cellStyle name="20% - Accent3 2 3 6" xfId="1363"/>
    <cellStyle name="20% - Accent3 2 3 7" xfId="1364"/>
    <cellStyle name="20% - Accent3 2 3 8" xfId="1365"/>
    <cellStyle name="20% - Accent3 2 30" xfId="1366"/>
    <cellStyle name="20% - Accent3 2 31" xfId="1367"/>
    <cellStyle name="20% - Accent3 2 32" xfId="1368"/>
    <cellStyle name="20% - Accent3 2 33" xfId="1369"/>
    <cellStyle name="20% - Accent3 2 34" xfId="1370"/>
    <cellStyle name="20% - Accent3 2 35" xfId="1371"/>
    <cellStyle name="20% - Accent3 2 36" xfId="1372"/>
    <cellStyle name="20% - Accent3 2 37" xfId="1373"/>
    <cellStyle name="20% - Accent3 2 38" xfId="1374"/>
    <cellStyle name="20% - Accent3 2 4" xfId="1375"/>
    <cellStyle name="20% - Accent3 2 4 2" xfId="1376"/>
    <cellStyle name="20% - Accent3 2 4 3" xfId="1377"/>
    <cellStyle name="20% - Accent3 2 4 4" xfId="1378"/>
    <cellStyle name="20% - Accent3 2 4 5" xfId="1379"/>
    <cellStyle name="20% - Accent3 2 4 6" xfId="1380"/>
    <cellStyle name="20% - Accent3 2 4 7" xfId="1381"/>
    <cellStyle name="20% - Accent3 2 4 8" xfId="1382"/>
    <cellStyle name="20% - Accent3 2 5" xfId="1383"/>
    <cellStyle name="20% - Accent3 2 5 2" xfId="1384"/>
    <cellStyle name="20% - Accent3 2 5 3" xfId="1385"/>
    <cellStyle name="20% - Accent3 2 5 4" xfId="1386"/>
    <cellStyle name="20% - Accent3 2 5 5" xfId="1387"/>
    <cellStyle name="20% - Accent3 2 5 6" xfId="1388"/>
    <cellStyle name="20% - Accent3 2 5 7" xfId="1389"/>
    <cellStyle name="20% - Accent3 2 5 8" xfId="1390"/>
    <cellStyle name="20% - Accent3 2 6" xfId="1391"/>
    <cellStyle name="20% - Accent3 2 6 2" xfId="1392"/>
    <cellStyle name="20% - Accent3 2 6 3" xfId="1393"/>
    <cellStyle name="20% - Accent3 2 6 4" xfId="1394"/>
    <cellStyle name="20% - Accent3 2 6 5" xfId="1395"/>
    <cellStyle name="20% - Accent3 2 6 6" xfId="1396"/>
    <cellStyle name="20% - Accent3 2 6 7" xfId="1397"/>
    <cellStyle name="20% - Accent3 2 6 8" xfId="1398"/>
    <cellStyle name="20% - Accent3 2 7" xfId="1399"/>
    <cellStyle name="20% - Accent3 2 7 2" xfId="1400"/>
    <cellStyle name="20% - Accent3 2 7 3" xfId="1401"/>
    <cellStyle name="20% - Accent3 2 7 4" xfId="1402"/>
    <cellStyle name="20% - Accent3 2 7 5" xfId="1403"/>
    <cellStyle name="20% - Accent3 2 7 6" xfId="1404"/>
    <cellStyle name="20% - Accent3 2 7 7" xfId="1405"/>
    <cellStyle name="20% - Accent3 2 7 8" xfId="1406"/>
    <cellStyle name="20% - Accent3 2 8" xfId="1407"/>
    <cellStyle name="20% - Accent3 2 8 2" xfId="1408"/>
    <cellStyle name="20% - Accent3 2 8 3" xfId="1409"/>
    <cellStyle name="20% - Accent3 2 8 4" xfId="1410"/>
    <cellStyle name="20% - Accent3 2 8 5" xfId="1411"/>
    <cellStyle name="20% - Accent3 2 8 6" xfId="1412"/>
    <cellStyle name="20% - Accent3 2 8 7" xfId="1413"/>
    <cellStyle name="20% - Accent3 2 8 8" xfId="1414"/>
    <cellStyle name="20% - Accent3 2 9" xfId="1415"/>
    <cellStyle name="20% - Accent3 2 9 2" xfId="1416"/>
    <cellStyle name="20% - Accent3 2 9 3" xfId="1417"/>
    <cellStyle name="20% - Accent3 2 9 4" xfId="1418"/>
    <cellStyle name="20% - Accent3 2 9 5" xfId="1419"/>
    <cellStyle name="20% - Accent3 2 9 6" xfId="1420"/>
    <cellStyle name="20% - Accent3 2 9 7" xfId="1421"/>
    <cellStyle name="20% - Accent3 2 9 8" xfId="1422"/>
    <cellStyle name="20% - Accent3 3" xfId="1423"/>
    <cellStyle name="20% - Accent3 3 10" xfId="1424"/>
    <cellStyle name="20% - Accent3 3 10 2" xfId="1425"/>
    <cellStyle name="20% - Accent3 3 10 3" xfId="1426"/>
    <cellStyle name="20% - Accent3 3 10 4" xfId="1427"/>
    <cellStyle name="20% - Accent3 3 10 5" xfId="1428"/>
    <cellStyle name="20% - Accent3 3 10 6" xfId="1429"/>
    <cellStyle name="20% - Accent3 3 10 7" xfId="1430"/>
    <cellStyle name="20% - Accent3 3 10 8" xfId="1431"/>
    <cellStyle name="20% - Accent3 3 11" xfId="1432"/>
    <cellStyle name="20% - Accent3 3 11 2" xfId="1433"/>
    <cellStyle name="20% - Accent3 3 11 3" xfId="1434"/>
    <cellStyle name="20% - Accent3 3 11 4" xfId="1435"/>
    <cellStyle name="20% - Accent3 3 11 5" xfId="1436"/>
    <cellStyle name="20% - Accent3 3 11 6" xfId="1437"/>
    <cellStyle name="20% - Accent3 3 11 7" xfId="1438"/>
    <cellStyle name="20% - Accent3 3 11 8" xfId="1439"/>
    <cellStyle name="20% - Accent3 3 12" xfId="1440"/>
    <cellStyle name="20% - Accent3 3 12 2" xfId="1441"/>
    <cellStyle name="20% - Accent3 3 12 3" xfId="1442"/>
    <cellStyle name="20% - Accent3 3 12 4" xfId="1443"/>
    <cellStyle name="20% - Accent3 3 12 5" xfId="1444"/>
    <cellStyle name="20% - Accent3 3 12 6" xfId="1445"/>
    <cellStyle name="20% - Accent3 3 12 7" xfId="1446"/>
    <cellStyle name="20% - Accent3 3 12 8" xfId="1447"/>
    <cellStyle name="20% - Accent3 3 13" xfId="1448"/>
    <cellStyle name="20% - Accent3 3 13 2" xfId="1449"/>
    <cellStyle name="20% - Accent3 3 13 3" xfId="1450"/>
    <cellStyle name="20% - Accent3 3 13 4" xfId="1451"/>
    <cellStyle name="20% - Accent3 3 13 5" xfId="1452"/>
    <cellStyle name="20% - Accent3 3 13 6" xfId="1453"/>
    <cellStyle name="20% - Accent3 3 13 7" xfId="1454"/>
    <cellStyle name="20% - Accent3 3 13 8" xfId="1455"/>
    <cellStyle name="20% - Accent3 3 14" xfId="1456"/>
    <cellStyle name="20% - Accent3 3 14 2" xfId="1457"/>
    <cellStyle name="20% - Accent3 3 14 3" xfId="1458"/>
    <cellStyle name="20% - Accent3 3 14 4" xfId="1459"/>
    <cellStyle name="20% - Accent3 3 14 5" xfId="1460"/>
    <cellStyle name="20% - Accent3 3 14 6" xfId="1461"/>
    <cellStyle name="20% - Accent3 3 14 7" xfId="1462"/>
    <cellStyle name="20% - Accent3 3 14 8" xfId="1463"/>
    <cellStyle name="20% - Accent3 3 15" xfId="1464"/>
    <cellStyle name="20% - Accent3 3 15 2" xfId="1465"/>
    <cellStyle name="20% - Accent3 3 15 3" xfId="1466"/>
    <cellStyle name="20% - Accent3 3 15 4" xfId="1467"/>
    <cellStyle name="20% - Accent3 3 15 5" xfId="1468"/>
    <cellStyle name="20% - Accent3 3 15 6" xfId="1469"/>
    <cellStyle name="20% - Accent3 3 15 7" xfId="1470"/>
    <cellStyle name="20% - Accent3 3 15 8" xfId="1471"/>
    <cellStyle name="20% - Accent3 3 16" xfId="1472"/>
    <cellStyle name="20% - Accent3 3 16 2" xfId="1473"/>
    <cellStyle name="20% - Accent3 3 16 3" xfId="1474"/>
    <cellStyle name="20% - Accent3 3 16 4" xfId="1475"/>
    <cellStyle name="20% - Accent3 3 16 5" xfId="1476"/>
    <cellStyle name="20% - Accent3 3 16 6" xfId="1477"/>
    <cellStyle name="20% - Accent3 3 16 7" xfId="1478"/>
    <cellStyle name="20% - Accent3 3 16 8" xfId="1479"/>
    <cellStyle name="20% - Accent3 3 17" xfId="1480"/>
    <cellStyle name="20% - Accent3 3 17 2" xfId="1481"/>
    <cellStyle name="20% - Accent3 3 17 3" xfId="1482"/>
    <cellStyle name="20% - Accent3 3 17 4" xfId="1483"/>
    <cellStyle name="20% - Accent3 3 17 5" xfId="1484"/>
    <cellStyle name="20% - Accent3 3 17 6" xfId="1485"/>
    <cellStyle name="20% - Accent3 3 17 7" xfId="1486"/>
    <cellStyle name="20% - Accent3 3 17 8" xfId="1487"/>
    <cellStyle name="20% - Accent3 3 18" xfId="1488"/>
    <cellStyle name="20% - Accent3 3 18 2" xfId="1489"/>
    <cellStyle name="20% - Accent3 3 18 3" xfId="1490"/>
    <cellStyle name="20% - Accent3 3 18 4" xfId="1491"/>
    <cellStyle name="20% - Accent3 3 18 5" xfId="1492"/>
    <cellStyle name="20% - Accent3 3 18 6" xfId="1493"/>
    <cellStyle name="20% - Accent3 3 18 7" xfId="1494"/>
    <cellStyle name="20% - Accent3 3 18 8" xfId="1495"/>
    <cellStyle name="20% - Accent3 3 19" xfId="1496"/>
    <cellStyle name="20% - Accent3 3 2" xfId="1497"/>
    <cellStyle name="20% - Accent3 3 2 2" xfId="1498"/>
    <cellStyle name="20% - Accent3 3 2 3" xfId="1499"/>
    <cellStyle name="20% - Accent3 3 2 4" xfId="1500"/>
    <cellStyle name="20% - Accent3 3 2 5" xfId="1501"/>
    <cellStyle name="20% - Accent3 3 2 6" xfId="1502"/>
    <cellStyle name="20% - Accent3 3 2 7" xfId="1503"/>
    <cellStyle name="20% - Accent3 3 2 8" xfId="1504"/>
    <cellStyle name="20% - Accent3 3 20" xfId="1505"/>
    <cellStyle name="20% - Accent3 3 21" xfId="1506"/>
    <cellStyle name="20% - Accent3 3 22" xfId="1507"/>
    <cellStyle name="20% - Accent3 3 23" xfId="1508"/>
    <cellStyle name="20% - Accent3 3 24" xfId="1509"/>
    <cellStyle name="20% - Accent3 3 25" xfId="1510"/>
    <cellStyle name="20% - Accent3 3 26" xfId="1511"/>
    <cellStyle name="20% - Accent3 3 27" xfId="1512"/>
    <cellStyle name="20% - Accent3 3 28" xfId="1513"/>
    <cellStyle name="20% - Accent3 3 29" xfId="1514"/>
    <cellStyle name="20% - Accent3 3 3" xfId="1515"/>
    <cellStyle name="20% - Accent3 3 3 2" xfId="1516"/>
    <cellStyle name="20% - Accent3 3 3 3" xfId="1517"/>
    <cellStyle name="20% - Accent3 3 3 4" xfId="1518"/>
    <cellStyle name="20% - Accent3 3 3 5" xfId="1519"/>
    <cellStyle name="20% - Accent3 3 3 6" xfId="1520"/>
    <cellStyle name="20% - Accent3 3 3 7" xfId="1521"/>
    <cellStyle name="20% - Accent3 3 3 8" xfId="1522"/>
    <cellStyle name="20% - Accent3 3 30" xfId="1523"/>
    <cellStyle name="20% - Accent3 3 31" xfId="1524"/>
    <cellStyle name="20% - Accent3 3 32" xfId="1525"/>
    <cellStyle name="20% - Accent3 3 33" xfId="1526"/>
    <cellStyle name="20% - Accent3 3 34" xfId="1527"/>
    <cellStyle name="20% - Accent3 3 35" xfId="1528"/>
    <cellStyle name="20% - Accent3 3 4" xfId="1529"/>
    <cellStyle name="20% - Accent3 3 4 2" xfId="1530"/>
    <cellStyle name="20% - Accent3 3 4 3" xfId="1531"/>
    <cellStyle name="20% - Accent3 3 4 4" xfId="1532"/>
    <cellStyle name="20% - Accent3 3 4 5" xfId="1533"/>
    <cellStyle name="20% - Accent3 3 4 6" xfId="1534"/>
    <cellStyle name="20% - Accent3 3 4 7" xfId="1535"/>
    <cellStyle name="20% - Accent3 3 4 8" xfId="1536"/>
    <cellStyle name="20% - Accent3 3 5" xfId="1537"/>
    <cellStyle name="20% - Accent3 3 5 2" xfId="1538"/>
    <cellStyle name="20% - Accent3 3 5 3" xfId="1539"/>
    <cellStyle name="20% - Accent3 3 5 4" xfId="1540"/>
    <cellStyle name="20% - Accent3 3 5 5" xfId="1541"/>
    <cellStyle name="20% - Accent3 3 5 6" xfId="1542"/>
    <cellStyle name="20% - Accent3 3 5 7" xfId="1543"/>
    <cellStyle name="20% - Accent3 3 5 8" xfId="1544"/>
    <cellStyle name="20% - Accent3 3 6" xfId="1545"/>
    <cellStyle name="20% - Accent3 3 6 2" xfId="1546"/>
    <cellStyle name="20% - Accent3 3 6 3" xfId="1547"/>
    <cellStyle name="20% - Accent3 3 6 4" xfId="1548"/>
    <cellStyle name="20% - Accent3 3 6 5" xfId="1549"/>
    <cellStyle name="20% - Accent3 3 6 6" xfId="1550"/>
    <cellStyle name="20% - Accent3 3 6 7" xfId="1551"/>
    <cellStyle name="20% - Accent3 3 6 8" xfId="1552"/>
    <cellStyle name="20% - Accent3 3 7" xfId="1553"/>
    <cellStyle name="20% - Accent3 3 7 2" xfId="1554"/>
    <cellStyle name="20% - Accent3 3 7 3" xfId="1555"/>
    <cellStyle name="20% - Accent3 3 7 4" xfId="1556"/>
    <cellStyle name="20% - Accent3 3 7 5" xfId="1557"/>
    <cellStyle name="20% - Accent3 3 7 6" xfId="1558"/>
    <cellStyle name="20% - Accent3 3 7 7" xfId="1559"/>
    <cellStyle name="20% - Accent3 3 7 8" xfId="1560"/>
    <cellStyle name="20% - Accent3 3 8" xfId="1561"/>
    <cellStyle name="20% - Accent3 3 8 2" xfId="1562"/>
    <cellStyle name="20% - Accent3 3 8 3" xfId="1563"/>
    <cellStyle name="20% - Accent3 3 8 4" xfId="1564"/>
    <cellStyle name="20% - Accent3 3 8 5" xfId="1565"/>
    <cellStyle name="20% - Accent3 3 8 6" xfId="1566"/>
    <cellStyle name="20% - Accent3 3 8 7" xfId="1567"/>
    <cellStyle name="20% - Accent3 3 8 8" xfId="1568"/>
    <cellStyle name="20% - Accent3 3 9" xfId="1569"/>
    <cellStyle name="20% - Accent3 3 9 2" xfId="1570"/>
    <cellStyle name="20% - Accent3 3 9 3" xfId="1571"/>
    <cellStyle name="20% - Accent3 3 9 4" xfId="1572"/>
    <cellStyle name="20% - Accent3 3 9 5" xfId="1573"/>
    <cellStyle name="20% - Accent3 3 9 6" xfId="1574"/>
    <cellStyle name="20% - Accent3 3 9 7" xfId="1575"/>
    <cellStyle name="20% - Accent3 3 9 8" xfId="1576"/>
    <cellStyle name="20% - Accent3 4" xfId="1577"/>
    <cellStyle name="20% - Accent3 4 10" xfId="1578"/>
    <cellStyle name="20% - Accent3 4 10 2" xfId="1579"/>
    <cellStyle name="20% - Accent3 4 10 3" xfId="1580"/>
    <cellStyle name="20% - Accent3 4 10 4" xfId="1581"/>
    <cellStyle name="20% - Accent3 4 10 5" xfId="1582"/>
    <cellStyle name="20% - Accent3 4 10 6" xfId="1583"/>
    <cellStyle name="20% - Accent3 4 10 7" xfId="1584"/>
    <cellStyle name="20% - Accent3 4 10 8" xfId="1585"/>
    <cellStyle name="20% - Accent3 4 11" xfId="1586"/>
    <cellStyle name="20% - Accent3 4 11 2" xfId="1587"/>
    <cellStyle name="20% - Accent3 4 11 3" xfId="1588"/>
    <cellStyle name="20% - Accent3 4 11 4" xfId="1589"/>
    <cellStyle name="20% - Accent3 4 11 5" xfId="1590"/>
    <cellStyle name="20% - Accent3 4 11 6" xfId="1591"/>
    <cellStyle name="20% - Accent3 4 11 7" xfId="1592"/>
    <cellStyle name="20% - Accent3 4 11 8" xfId="1593"/>
    <cellStyle name="20% - Accent3 4 12" xfId="1594"/>
    <cellStyle name="20% - Accent3 4 12 2" xfId="1595"/>
    <cellStyle name="20% - Accent3 4 12 3" xfId="1596"/>
    <cellStyle name="20% - Accent3 4 12 4" xfId="1597"/>
    <cellStyle name="20% - Accent3 4 12 5" xfId="1598"/>
    <cellStyle name="20% - Accent3 4 12 6" xfId="1599"/>
    <cellStyle name="20% - Accent3 4 12 7" xfId="1600"/>
    <cellStyle name="20% - Accent3 4 12 8" xfId="1601"/>
    <cellStyle name="20% - Accent3 4 13" xfId="1602"/>
    <cellStyle name="20% - Accent3 4 13 2" xfId="1603"/>
    <cellStyle name="20% - Accent3 4 13 3" xfId="1604"/>
    <cellStyle name="20% - Accent3 4 13 4" xfId="1605"/>
    <cellStyle name="20% - Accent3 4 13 5" xfId="1606"/>
    <cellStyle name="20% - Accent3 4 13 6" xfId="1607"/>
    <cellStyle name="20% - Accent3 4 13 7" xfId="1608"/>
    <cellStyle name="20% - Accent3 4 13 8" xfId="1609"/>
    <cellStyle name="20% - Accent3 4 14" xfId="1610"/>
    <cellStyle name="20% - Accent3 4 14 2" xfId="1611"/>
    <cellStyle name="20% - Accent3 4 14 3" xfId="1612"/>
    <cellStyle name="20% - Accent3 4 14 4" xfId="1613"/>
    <cellStyle name="20% - Accent3 4 14 5" xfId="1614"/>
    <cellStyle name="20% - Accent3 4 14 6" xfId="1615"/>
    <cellStyle name="20% - Accent3 4 14 7" xfId="1616"/>
    <cellStyle name="20% - Accent3 4 14 8" xfId="1617"/>
    <cellStyle name="20% - Accent3 4 15" xfId="1618"/>
    <cellStyle name="20% - Accent3 4 15 2" xfId="1619"/>
    <cellStyle name="20% - Accent3 4 15 3" xfId="1620"/>
    <cellStyle name="20% - Accent3 4 15 4" xfId="1621"/>
    <cellStyle name="20% - Accent3 4 15 5" xfId="1622"/>
    <cellStyle name="20% - Accent3 4 15 6" xfId="1623"/>
    <cellStyle name="20% - Accent3 4 15 7" xfId="1624"/>
    <cellStyle name="20% - Accent3 4 15 8" xfId="1625"/>
    <cellStyle name="20% - Accent3 4 16" xfId="1626"/>
    <cellStyle name="20% - Accent3 4 16 2" xfId="1627"/>
    <cellStyle name="20% - Accent3 4 16 3" xfId="1628"/>
    <cellStyle name="20% - Accent3 4 16 4" xfId="1629"/>
    <cellStyle name="20% - Accent3 4 16 5" xfId="1630"/>
    <cellStyle name="20% - Accent3 4 16 6" xfId="1631"/>
    <cellStyle name="20% - Accent3 4 16 7" xfId="1632"/>
    <cellStyle name="20% - Accent3 4 16 8" xfId="1633"/>
    <cellStyle name="20% - Accent3 4 17" xfId="1634"/>
    <cellStyle name="20% - Accent3 4 17 2" xfId="1635"/>
    <cellStyle name="20% - Accent3 4 17 3" xfId="1636"/>
    <cellStyle name="20% - Accent3 4 17 4" xfId="1637"/>
    <cellStyle name="20% - Accent3 4 17 5" xfId="1638"/>
    <cellStyle name="20% - Accent3 4 17 6" xfId="1639"/>
    <cellStyle name="20% - Accent3 4 17 7" xfId="1640"/>
    <cellStyle name="20% - Accent3 4 17 8" xfId="1641"/>
    <cellStyle name="20% - Accent3 4 18" xfId="1642"/>
    <cellStyle name="20% - Accent3 4 18 2" xfId="1643"/>
    <cellStyle name="20% - Accent3 4 18 3" xfId="1644"/>
    <cellStyle name="20% - Accent3 4 18 4" xfId="1645"/>
    <cellStyle name="20% - Accent3 4 18 5" xfId="1646"/>
    <cellStyle name="20% - Accent3 4 18 6" xfId="1647"/>
    <cellStyle name="20% - Accent3 4 18 7" xfId="1648"/>
    <cellStyle name="20% - Accent3 4 18 8" xfId="1649"/>
    <cellStyle name="20% - Accent3 4 19" xfId="1650"/>
    <cellStyle name="20% - Accent3 4 2" xfId="1651"/>
    <cellStyle name="20% - Accent3 4 2 2" xfId="1652"/>
    <cellStyle name="20% - Accent3 4 2 3" xfId="1653"/>
    <cellStyle name="20% - Accent3 4 2 4" xfId="1654"/>
    <cellStyle name="20% - Accent3 4 2 5" xfId="1655"/>
    <cellStyle name="20% - Accent3 4 2 6" xfId="1656"/>
    <cellStyle name="20% - Accent3 4 2 7" xfId="1657"/>
    <cellStyle name="20% - Accent3 4 2 8" xfId="1658"/>
    <cellStyle name="20% - Accent3 4 20" xfId="1659"/>
    <cellStyle name="20% - Accent3 4 21" xfId="1660"/>
    <cellStyle name="20% - Accent3 4 22" xfId="1661"/>
    <cellStyle name="20% - Accent3 4 23" xfId="1662"/>
    <cellStyle name="20% - Accent3 4 24" xfId="1663"/>
    <cellStyle name="20% - Accent3 4 25" xfId="1664"/>
    <cellStyle name="20% - Accent3 4 26" xfId="1665"/>
    <cellStyle name="20% - Accent3 4 27" xfId="1666"/>
    <cellStyle name="20% - Accent3 4 28" xfId="1667"/>
    <cellStyle name="20% - Accent3 4 29" xfId="1668"/>
    <cellStyle name="20% - Accent3 4 3" xfId="1669"/>
    <cellStyle name="20% - Accent3 4 3 2" xfId="1670"/>
    <cellStyle name="20% - Accent3 4 3 3" xfId="1671"/>
    <cellStyle name="20% - Accent3 4 3 4" xfId="1672"/>
    <cellStyle name="20% - Accent3 4 3 5" xfId="1673"/>
    <cellStyle name="20% - Accent3 4 3 6" xfId="1674"/>
    <cellStyle name="20% - Accent3 4 3 7" xfId="1675"/>
    <cellStyle name="20% - Accent3 4 3 8" xfId="1676"/>
    <cellStyle name="20% - Accent3 4 30" xfId="1677"/>
    <cellStyle name="20% - Accent3 4 31" xfId="1678"/>
    <cellStyle name="20% - Accent3 4 32" xfId="1679"/>
    <cellStyle name="20% - Accent3 4 33" xfId="1680"/>
    <cellStyle name="20% - Accent3 4 34" xfId="1681"/>
    <cellStyle name="20% - Accent3 4 35" xfId="1682"/>
    <cellStyle name="20% - Accent3 4 4" xfId="1683"/>
    <cellStyle name="20% - Accent3 4 4 2" xfId="1684"/>
    <cellStyle name="20% - Accent3 4 4 3" xfId="1685"/>
    <cellStyle name="20% - Accent3 4 4 4" xfId="1686"/>
    <cellStyle name="20% - Accent3 4 4 5" xfId="1687"/>
    <cellStyle name="20% - Accent3 4 4 6" xfId="1688"/>
    <cellStyle name="20% - Accent3 4 4 7" xfId="1689"/>
    <cellStyle name="20% - Accent3 4 4 8" xfId="1690"/>
    <cellStyle name="20% - Accent3 4 5" xfId="1691"/>
    <cellStyle name="20% - Accent3 4 5 2" xfId="1692"/>
    <cellStyle name="20% - Accent3 4 5 3" xfId="1693"/>
    <cellStyle name="20% - Accent3 4 5 4" xfId="1694"/>
    <cellStyle name="20% - Accent3 4 5 5" xfId="1695"/>
    <cellStyle name="20% - Accent3 4 5 6" xfId="1696"/>
    <cellStyle name="20% - Accent3 4 5 7" xfId="1697"/>
    <cellStyle name="20% - Accent3 4 5 8" xfId="1698"/>
    <cellStyle name="20% - Accent3 4 6" xfId="1699"/>
    <cellStyle name="20% - Accent3 4 6 2" xfId="1700"/>
    <cellStyle name="20% - Accent3 4 6 3" xfId="1701"/>
    <cellStyle name="20% - Accent3 4 6 4" xfId="1702"/>
    <cellStyle name="20% - Accent3 4 6 5" xfId="1703"/>
    <cellStyle name="20% - Accent3 4 6 6" xfId="1704"/>
    <cellStyle name="20% - Accent3 4 6 7" xfId="1705"/>
    <cellStyle name="20% - Accent3 4 6 8" xfId="1706"/>
    <cellStyle name="20% - Accent3 4 7" xfId="1707"/>
    <cellStyle name="20% - Accent3 4 7 2" xfId="1708"/>
    <cellStyle name="20% - Accent3 4 7 3" xfId="1709"/>
    <cellStyle name="20% - Accent3 4 7 4" xfId="1710"/>
    <cellStyle name="20% - Accent3 4 7 5" xfId="1711"/>
    <cellStyle name="20% - Accent3 4 7 6" xfId="1712"/>
    <cellStyle name="20% - Accent3 4 7 7" xfId="1713"/>
    <cellStyle name="20% - Accent3 4 7 8" xfId="1714"/>
    <cellStyle name="20% - Accent3 4 8" xfId="1715"/>
    <cellStyle name="20% - Accent3 4 8 2" xfId="1716"/>
    <cellStyle name="20% - Accent3 4 8 3" xfId="1717"/>
    <cellStyle name="20% - Accent3 4 8 4" xfId="1718"/>
    <cellStyle name="20% - Accent3 4 8 5" xfId="1719"/>
    <cellStyle name="20% - Accent3 4 8 6" xfId="1720"/>
    <cellStyle name="20% - Accent3 4 8 7" xfId="1721"/>
    <cellStyle name="20% - Accent3 4 8 8" xfId="1722"/>
    <cellStyle name="20% - Accent3 4 9" xfId="1723"/>
    <cellStyle name="20% - Accent3 4 9 2" xfId="1724"/>
    <cellStyle name="20% - Accent3 4 9 3" xfId="1725"/>
    <cellStyle name="20% - Accent3 4 9 4" xfId="1726"/>
    <cellStyle name="20% - Accent3 4 9 5" xfId="1727"/>
    <cellStyle name="20% - Accent3 4 9 6" xfId="1728"/>
    <cellStyle name="20% - Accent3 4 9 7" xfId="1729"/>
    <cellStyle name="20% - Accent3 4 9 8" xfId="1730"/>
    <cellStyle name="20% - Accent3 5" xfId="1731"/>
    <cellStyle name="20% - Accent3 5 10" xfId="1732"/>
    <cellStyle name="20% - Accent3 5 10 2" xfId="1733"/>
    <cellStyle name="20% - Accent3 5 10 3" xfId="1734"/>
    <cellStyle name="20% - Accent3 5 10 4" xfId="1735"/>
    <cellStyle name="20% - Accent3 5 10 5" xfId="1736"/>
    <cellStyle name="20% - Accent3 5 10 6" xfId="1737"/>
    <cellStyle name="20% - Accent3 5 10 7" xfId="1738"/>
    <cellStyle name="20% - Accent3 5 10 8" xfId="1739"/>
    <cellStyle name="20% - Accent3 5 11" xfId="1740"/>
    <cellStyle name="20% - Accent3 5 11 2" xfId="1741"/>
    <cellStyle name="20% - Accent3 5 11 3" xfId="1742"/>
    <cellStyle name="20% - Accent3 5 11 4" xfId="1743"/>
    <cellStyle name="20% - Accent3 5 11 5" xfId="1744"/>
    <cellStyle name="20% - Accent3 5 11 6" xfId="1745"/>
    <cellStyle name="20% - Accent3 5 11 7" xfId="1746"/>
    <cellStyle name="20% - Accent3 5 11 8" xfId="1747"/>
    <cellStyle name="20% - Accent3 5 12" xfId="1748"/>
    <cellStyle name="20% - Accent3 5 12 2" xfId="1749"/>
    <cellStyle name="20% - Accent3 5 12 3" xfId="1750"/>
    <cellStyle name="20% - Accent3 5 12 4" xfId="1751"/>
    <cellStyle name="20% - Accent3 5 12 5" xfId="1752"/>
    <cellStyle name="20% - Accent3 5 12 6" xfId="1753"/>
    <cellStyle name="20% - Accent3 5 12 7" xfId="1754"/>
    <cellStyle name="20% - Accent3 5 12 8" xfId="1755"/>
    <cellStyle name="20% - Accent3 5 13" xfId="1756"/>
    <cellStyle name="20% - Accent3 5 13 2" xfId="1757"/>
    <cellStyle name="20% - Accent3 5 13 3" xfId="1758"/>
    <cellStyle name="20% - Accent3 5 13 4" xfId="1759"/>
    <cellStyle name="20% - Accent3 5 13 5" xfId="1760"/>
    <cellStyle name="20% - Accent3 5 13 6" xfId="1761"/>
    <cellStyle name="20% - Accent3 5 13 7" xfId="1762"/>
    <cellStyle name="20% - Accent3 5 13 8" xfId="1763"/>
    <cellStyle name="20% - Accent3 5 14" xfId="1764"/>
    <cellStyle name="20% - Accent3 5 14 2" xfId="1765"/>
    <cellStyle name="20% - Accent3 5 14 3" xfId="1766"/>
    <cellStyle name="20% - Accent3 5 14 4" xfId="1767"/>
    <cellStyle name="20% - Accent3 5 14 5" xfId="1768"/>
    <cellStyle name="20% - Accent3 5 14 6" xfId="1769"/>
    <cellStyle name="20% - Accent3 5 14 7" xfId="1770"/>
    <cellStyle name="20% - Accent3 5 14 8" xfId="1771"/>
    <cellStyle name="20% - Accent3 5 15" xfId="1772"/>
    <cellStyle name="20% - Accent3 5 15 2" xfId="1773"/>
    <cellStyle name="20% - Accent3 5 15 3" xfId="1774"/>
    <cellStyle name="20% - Accent3 5 15 4" xfId="1775"/>
    <cellStyle name="20% - Accent3 5 15 5" xfId="1776"/>
    <cellStyle name="20% - Accent3 5 15 6" xfId="1777"/>
    <cellStyle name="20% - Accent3 5 15 7" xfId="1778"/>
    <cellStyle name="20% - Accent3 5 15 8" xfId="1779"/>
    <cellStyle name="20% - Accent3 5 16" xfId="1780"/>
    <cellStyle name="20% - Accent3 5 16 2" xfId="1781"/>
    <cellStyle name="20% - Accent3 5 16 3" xfId="1782"/>
    <cellStyle name="20% - Accent3 5 16 4" xfId="1783"/>
    <cellStyle name="20% - Accent3 5 16 5" xfId="1784"/>
    <cellStyle name="20% - Accent3 5 16 6" xfId="1785"/>
    <cellStyle name="20% - Accent3 5 16 7" xfId="1786"/>
    <cellStyle name="20% - Accent3 5 16 8" xfId="1787"/>
    <cellStyle name="20% - Accent3 5 17" xfId="1788"/>
    <cellStyle name="20% - Accent3 5 17 2" xfId="1789"/>
    <cellStyle name="20% - Accent3 5 17 3" xfId="1790"/>
    <cellStyle name="20% - Accent3 5 17 4" xfId="1791"/>
    <cellStyle name="20% - Accent3 5 17 5" xfId="1792"/>
    <cellStyle name="20% - Accent3 5 17 6" xfId="1793"/>
    <cellStyle name="20% - Accent3 5 17 7" xfId="1794"/>
    <cellStyle name="20% - Accent3 5 17 8" xfId="1795"/>
    <cellStyle name="20% - Accent3 5 18" xfId="1796"/>
    <cellStyle name="20% - Accent3 5 18 2" xfId="1797"/>
    <cellStyle name="20% - Accent3 5 18 3" xfId="1798"/>
    <cellStyle name="20% - Accent3 5 18 4" xfId="1799"/>
    <cellStyle name="20% - Accent3 5 18 5" xfId="1800"/>
    <cellStyle name="20% - Accent3 5 18 6" xfId="1801"/>
    <cellStyle name="20% - Accent3 5 18 7" xfId="1802"/>
    <cellStyle name="20% - Accent3 5 18 8" xfId="1803"/>
    <cellStyle name="20% - Accent3 5 19" xfId="1804"/>
    <cellStyle name="20% - Accent3 5 2" xfId="1805"/>
    <cellStyle name="20% - Accent3 5 2 2" xfId="1806"/>
    <cellStyle name="20% - Accent3 5 2 3" xfId="1807"/>
    <cellStyle name="20% - Accent3 5 2 4" xfId="1808"/>
    <cellStyle name="20% - Accent3 5 2 5" xfId="1809"/>
    <cellStyle name="20% - Accent3 5 2 6" xfId="1810"/>
    <cellStyle name="20% - Accent3 5 2 7" xfId="1811"/>
    <cellStyle name="20% - Accent3 5 2 8" xfId="1812"/>
    <cellStyle name="20% - Accent3 5 20" xfId="1813"/>
    <cellStyle name="20% - Accent3 5 21" xfId="1814"/>
    <cellStyle name="20% - Accent3 5 22" xfId="1815"/>
    <cellStyle name="20% - Accent3 5 23" xfId="1816"/>
    <cellStyle name="20% - Accent3 5 24" xfId="1817"/>
    <cellStyle name="20% - Accent3 5 25" xfId="1818"/>
    <cellStyle name="20% - Accent3 5 26" xfId="1819"/>
    <cellStyle name="20% - Accent3 5 27" xfId="1820"/>
    <cellStyle name="20% - Accent3 5 28" xfId="1821"/>
    <cellStyle name="20% - Accent3 5 29" xfId="1822"/>
    <cellStyle name="20% - Accent3 5 3" xfId="1823"/>
    <cellStyle name="20% - Accent3 5 3 2" xfId="1824"/>
    <cellStyle name="20% - Accent3 5 3 3" xfId="1825"/>
    <cellStyle name="20% - Accent3 5 3 4" xfId="1826"/>
    <cellStyle name="20% - Accent3 5 3 5" xfId="1827"/>
    <cellStyle name="20% - Accent3 5 3 6" xfId="1828"/>
    <cellStyle name="20% - Accent3 5 3 7" xfId="1829"/>
    <cellStyle name="20% - Accent3 5 3 8" xfId="1830"/>
    <cellStyle name="20% - Accent3 5 30" xfId="1831"/>
    <cellStyle name="20% - Accent3 5 31" xfId="1832"/>
    <cellStyle name="20% - Accent3 5 32" xfId="1833"/>
    <cellStyle name="20% - Accent3 5 33" xfId="1834"/>
    <cellStyle name="20% - Accent3 5 34" xfId="1835"/>
    <cellStyle name="20% - Accent3 5 35" xfId="1836"/>
    <cellStyle name="20% - Accent3 5 4" xfId="1837"/>
    <cellStyle name="20% - Accent3 5 4 2" xfId="1838"/>
    <cellStyle name="20% - Accent3 5 4 3" xfId="1839"/>
    <cellStyle name="20% - Accent3 5 4 4" xfId="1840"/>
    <cellStyle name="20% - Accent3 5 4 5" xfId="1841"/>
    <cellStyle name="20% - Accent3 5 4 6" xfId="1842"/>
    <cellStyle name="20% - Accent3 5 4 7" xfId="1843"/>
    <cellStyle name="20% - Accent3 5 4 8" xfId="1844"/>
    <cellStyle name="20% - Accent3 5 5" xfId="1845"/>
    <cellStyle name="20% - Accent3 5 5 2" xfId="1846"/>
    <cellStyle name="20% - Accent3 5 5 3" xfId="1847"/>
    <cellStyle name="20% - Accent3 5 5 4" xfId="1848"/>
    <cellStyle name="20% - Accent3 5 5 5" xfId="1849"/>
    <cellStyle name="20% - Accent3 5 5 6" xfId="1850"/>
    <cellStyle name="20% - Accent3 5 5 7" xfId="1851"/>
    <cellStyle name="20% - Accent3 5 5 8" xfId="1852"/>
    <cellStyle name="20% - Accent3 5 6" xfId="1853"/>
    <cellStyle name="20% - Accent3 5 6 2" xfId="1854"/>
    <cellStyle name="20% - Accent3 5 6 3" xfId="1855"/>
    <cellStyle name="20% - Accent3 5 6 4" xfId="1856"/>
    <cellStyle name="20% - Accent3 5 6 5" xfId="1857"/>
    <cellStyle name="20% - Accent3 5 6 6" xfId="1858"/>
    <cellStyle name="20% - Accent3 5 6 7" xfId="1859"/>
    <cellStyle name="20% - Accent3 5 6 8" xfId="1860"/>
    <cellStyle name="20% - Accent3 5 7" xfId="1861"/>
    <cellStyle name="20% - Accent3 5 7 2" xfId="1862"/>
    <cellStyle name="20% - Accent3 5 7 3" xfId="1863"/>
    <cellStyle name="20% - Accent3 5 7 4" xfId="1864"/>
    <cellStyle name="20% - Accent3 5 7 5" xfId="1865"/>
    <cellStyle name="20% - Accent3 5 7 6" xfId="1866"/>
    <cellStyle name="20% - Accent3 5 7 7" xfId="1867"/>
    <cellStyle name="20% - Accent3 5 7 8" xfId="1868"/>
    <cellStyle name="20% - Accent3 5 8" xfId="1869"/>
    <cellStyle name="20% - Accent3 5 8 2" xfId="1870"/>
    <cellStyle name="20% - Accent3 5 8 3" xfId="1871"/>
    <cellStyle name="20% - Accent3 5 8 4" xfId="1872"/>
    <cellStyle name="20% - Accent3 5 8 5" xfId="1873"/>
    <cellStyle name="20% - Accent3 5 8 6" xfId="1874"/>
    <cellStyle name="20% - Accent3 5 8 7" xfId="1875"/>
    <cellStyle name="20% - Accent3 5 8 8" xfId="1876"/>
    <cellStyle name="20% - Accent3 5 9" xfId="1877"/>
    <cellStyle name="20% - Accent3 5 9 2" xfId="1878"/>
    <cellStyle name="20% - Accent3 5 9 3" xfId="1879"/>
    <cellStyle name="20% - Accent3 5 9 4" xfId="1880"/>
    <cellStyle name="20% - Accent3 5 9 5" xfId="1881"/>
    <cellStyle name="20% - Accent3 5 9 6" xfId="1882"/>
    <cellStyle name="20% - Accent3 5 9 7" xfId="1883"/>
    <cellStyle name="20% - Accent3 5 9 8" xfId="1884"/>
    <cellStyle name="20% - Accent3 6" xfId="1885"/>
    <cellStyle name="20% - Accent4 2" xfId="1886"/>
    <cellStyle name="20% - Accent4 2 10" xfId="1887"/>
    <cellStyle name="20% - Accent4 2 10 2" xfId="1888"/>
    <cellStyle name="20% - Accent4 2 10 3" xfId="1889"/>
    <cellStyle name="20% - Accent4 2 10 4" xfId="1890"/>
    <cellStyle name="20% - Accent4 2 10 5" xfId="1891"/>
    <cellStyle name="20% - Accent4 2 10 6" xfId="1892"/>
    <cellStyle name="20% - Accent4 2 10 7" xfId="1893"/>
    <cellStyle name="20% - Accent4 2 10 8" xfId="1894"/>
    <cellStyle name="20% - Accent4 2 11" xfId="1895"/>
    <cellStyle name="20% - Accent4 2 11 2" xfId="1896"/>
    <cellStyle name="20% - Accent4 2 11 3" xfId="1897"/>
    <cellStyle name="20% - Accent4 2 11 4" xfId="1898"/>
    <cellStyle name="20% - Accent4 2 11 5" xfId="1899"/>
    <cellStyle name="20% - Accent4 2 11 6" xfId="1900"/>
    <cellStyle name="20% - Accent4 2 11 7" xfId="1901"/>
    <cellStyle name="20% - Accent4 2 11 8" xfId="1902"/>
    <cellStyle name="20% - Accent4 2 12" xfId="1903"/>
    <cellStyle name="20% - Accent4 2 12 2" xfId="1904"/>
    <cellStyle name="20% - Accent4 2 12 3" xfId="1905"/>
    <cellStyle name="20% - Accent4 2 12 4" xfId="1906"/>
    <cellStyle name="20% - Accent4 2 12 5" xfId="1907"/>
    <cellStyle name="20% - Accent4 2 12 6" xfId="1908"/>
    <cellStyle name="20% - Accent4 2 12 7" xfId="1909"/>
    <cellStyle name="20% - Accent4 2 12 8" xfId="1910"/>
    <cellStyle name="20% - Accent4 2 13" xfId="1911"/>
    <cellStyle name="20% - Accent4 2 13 2" xfId="1912"/>
    <cellStyle name="20% - Accent4 2 13 3" xfId="1913"/>
    <cellStyle name="20% - Accent4 2 13 4" xfId="1914"/>
    <cellStyle name="20% - Accent4 2 13 5" xfId="1915"/>
    <cellStyle name="20% - Accent4 2 13 6" xfId="1916"/>
    <cellStyle name="20% - Accent4 2 13 7" xfId="1917"/>
    <cellStyle name="20% - Accent4 2 13 8" xfId="1918"/>
    <cellStyle name="20% - Accent4 2 14" xfId="1919"/>
    <cellStyle name="20% - Accent4 2 14 2" xfId="1920"/>
    <cellStyle name="20% - Accent4 2 14 3" xfId="1921"/>
    <cellStyle name="20% - Accent4 2 14 4" xfId="1922"/>
    <cellStyle name="20% - Accent4 2 14 5" xfId="1923"/>
    <cellStyle name="20% - Accent4 2 14 6" xfId="1924"/>
    <cellStyle name="20% - Accent4 2 14 7" xfId="1925"/>
    <cellStyle name="20% - Accent4 2 14 8" xfId="1926"/>
    <cellStyle name="20% - Accent4 2 15" xfId="1927"/>
    <cellStyle name="20% - Accent4 2 15 2" xfId="1928"/>
    <cellStyle name="20% - Accent4 2 15 3" xfId="1929"/>
    <cellStyle name="20% - Accent4 2 15 4" xfId="1930"/>
    <cellStyle name="20% - Accent4 2 15 5" xfId="1931"/>
    <cellStyle name="20% - Accent4 2 15 6" xfId="1932"/>
    <cellStyle name="20% - Accent4 2 15 7" xfId="1933"/>
    <cellStyle name="20% - Accent4 2 15 8" xfId="1934"/>
    <cellStyle name="20% - Accent4 2 16" xfId="1935"/>
    <cellStyle name="20% - Accent4 2 16 2" xfId="1936"/>
    <cellStyle name="20% - Accent4 2 16 3" xfId="1937"/>
    <cellStyle name="20% - Accent4 2 16 4" xfId="1938"/>
    <cellStyle name="20% - Accent4 2 16 5" xfId="1939"/>
    <cellStyle name="20% - Accent4 2 16 6" xfId="1940"/>
    <cellStyle name="20% - Accent4 2 16 7" xfId="1941"/>
    <cellStyle name="20% - Accent4 2 16 8" xfId="1942"/>
    <cellStyle name="20% - Accent4 2 17" xfId="1943"/>
    <cellStyle name="20% - Accent4 2 17 2" xfId="1944"/>
    <cellStyle name="20% - Accent4 2 17 3" xfId="1945"/>
    <cellStyle name="20% - Accent4 2 17 4" xfId="1946"/>
    <cellStyle name="20% - Accent4 2 17 5" xfId="1947"/>
    <cellStyle name="20% - Accent4 2 17 6" xfId="1948"/>
    <cellStyle name="20% - Accent4 2 17 7" xfId="1949"/>
    <cellStyle name="20% - Accent4 2 17 8" xfId="1950"/>
    <cellStyle name="20% - Accent4 2 18" xfId="1951"/>
    <cellStyle name="20% - Accent4 2 18 2" xfId="1952"/>
    <cellStyle name="20% - Accent4 2 18 3" xfId="1953"/>
    <cellStyle name="20% - Accent4 2 18 4" xfId="1954"/>
    <cellStyle name="20% - Accent4 2 18 5" xfId="1955"/>
    <cellStyle name="20% - Accent4 2 18 6" xfId="1956"/>
    <cellStyle name="20% - Accent4 2 18 7" xfId="1957"/>
    <cellStyle name="20% - Accent4 2 18 8" xfId="1958"/>
    <cellStyle name="20% - Accent4 2 19" xfId="1959"/>
    <cellStyle name="20% - Accent4 2 2" xfId="1960"/>
    <cellStyle name="20% - Accent4 2 2 2" xfId="1961"/>
    <cellStyle name="20% - Accent4 2 2 3" xfId="1962"/>
    <cellStyle name="20% - Accent4 2 2 4" xfId="1963"/>
    <cellStyle name="20% - Accent4 2 2 5" xfId="1964"/>
    <cellStyle name="20% - Accent4 2 2 6" xfId="1965"/>
    <cellStyle name="20% - Accent4 2 2 7" xfId="1966"/>
    <cellStyle name="20% - Accent4 2 2 8" xfId="1967"/>
    <cellStyle name="20% - Accent4 2 20" xfId="1968"/>
    <cellStyle name="20% - Accent4 2 21" xfId="1969"/>
    <cellStyle name="20% - Accent4 2 22" xfId="1970"/>
    <cellStyle name="20% - Accent4 2 23" xfId="1971"/>
    <cellStyle name="20% - Accent4 2 24" xfId="1972"/>
    <cellStyle name="20% - Accent4 2 25" xfId="1973"/>
    <cellStyle name="20% - Accent4 2 26" xfId="1974"/>
    <cellStyle name="20% - Accent4 2 27" xfId="1975"/>
    <cellStyle name="20% - Accent4 2 28" xfId="1976"/>
    <cellStyle name="20% - Accent4 2 29" xfId="1977"/>
    <cellStyle name="20% - Accent4 2 3" xfId="1978"/>
    <cellStyle name="20% - Accent4 2 3 2" xfId="1979"/>
    <cellStyle name="20% - Accent4 2 3 3" xfId="1980"/>
    <cellStyle name="20% - Accent4 2 3 4" xfId="1981"/>
    <cellStyle name="20% - Accent4 2 3 5" xfId="1982"/>
    <cellStyle name="20% - Accent4 2 3 6" xfId="1983"/>
    <cellStyle name="20% - Accent4 2 3 7" xfId="1984"/>
    <cellStyle name="20% - Accent4 2 3 8" xfId="1985"/>
    <cellStyle name="20% - Accent4 2 30" xfId="1986"/>
    <cellStyle name="20% - Accent4 2 31" xfId="1987"/>
    <cellStyle name="20% - Accent4 2 32" xfId="1988"/>
    <cellStyle name="20% - Accent4 2 33" xfId="1989"/>
    <cellStyle name="20% - Accent4 2 34" xfId="1990"/>
    <cellStyle name="20% - Accent4 2 35" xfId="1991"/>
    <cellStyle name="20% - Accent4 2 36" xfId="1992"/>
    <cellStyle name="20% - Accent4 2 37" xfId="1993"/>
    <cellStyle name="20% - Accent4 2 38" xfId="1994"/>
    <cellStyle name="20% - Accent4 2 4" xfId="1995"/>
    <cellStyle name="20% - Accent4 2 4 2" xfId="1996"/>
    <cellStyle name="20% - Accent4 2 4 3" xfId="1997"/>
    <cellStyle name="20% - Accent4 2 4 4" xfId="1998"/>
    <cellStyle name="20% - Accent4 2 4 5" xfId="1999"/>
    <cellStyle name="20% - Accent4 2 4 6" xfId="2000"/>
    <cellStyle name="20% - Accent4 2 4 7" xfId="2001"/>
    <cellStyle name="20% - Accent4 2 4 8" xfId="2002"/>
    <cellStyle name="20% - Accent4 2 5" xfId="2003"/>
    <cellStyle name="20% - Accent4 2 5 2" xfId="2004"/>
    <cellStyle name="20% - Accent4 2 5 3" xfId="2005"/>
    <cellStyle name="20% - Accent4 2 5 4" xfId="2006"/>
    <cellStyle name="20% - Accent4 2 5 5" xfId="2007"/>
    <cellStyle name="20% - Accent4 2 5 6" xfId="2008"/>
    <cellStyle name="20% - Accent4 2 5 7" xfId="2009"/>
    <cellStyle name="20% - Accent4 2 5 8" xfId="2010"/>
    <cellStyle name="20% - Accent4 2 6" xfId="2011"/>
    <cellStyle name="20% - Accent4 2 6 2" xfId="2012"/>
    <cellStyle name="20% - Accent4 2 6 3" xfId="2013"/>
    <cellStyle name="20% - Accent4 2 6 4" xfId="2014"/>
    <cellStyle name="20% - Accent4 2 6 5" xfId="2015"/>
    <cellStyle name="20% - Accent4 2 6 6" xfId="2016"/>
    <cellStyle name="20% - Accent4 2 6 7" xfId="2017"/>
    <cellStyle name="20% - Accent4 2 6 8" xfId="2018"/>
    <cellStyle name="20% - Accent4 2 7" xfId="2019"/>
    <cellStyle name="20% - Accent4 2 7 2" xfId="2020"/>
    <cellStyle name="20% - Accent4 2 7 3" xfId="2021"/>
    <cellStyle name="20% - Accent4 2 7 4" xfId="2022"/>
    <cellStyle name="20% - Accent4 2 7 5" xfId="2023"/>
    <cellStyle name="20% - Accent4 2 7 6" xfId="2024"/>
    <cellStyle name="20% - Accent4 2 7 7" xfId="2025"/>
    <cellStyle name="20% - Accent4 2 7 8" xfId="2026"/>
    <cellStyle name="20% - Accent4 2 8" xfId="2027"/>
    <cellStyle name="20% - Accent4 2 8 2" xfId="2028"/>
    <cellStyle name="20% - Accent4 2 8 3" xfId="2029"/>
    <cellStyle name="20% - Accent4 2 8 4" xfId="2030"/>
    <cellStyle name="20% - Accent4 2 8 5" xfId="2031"/>
    <cellStyle name="20% - Accent4 2 8 6" xfId="2032"/>
    <cellStyle name="20% - Accent4 2 8 7" xfId="2033"/>
    <cellStyle name="20% - Accent4 2 8 8" xfId="2034"/>
    <cellStyle name="20% - Accent4 2 9" xfId="2035"/>
    <cellStyle name="20% - Accent4 2 9 2" xfId="2036"/>
    <cellStyle name="20% - Accent4 2 9 3" xfId="2037"/>
    <cellStyle name="20% - Accent4 2 9 4" xfId="2038"/>
    <cellStyle name="20% - Accent4 2 9 5" xfId="2039"/>
    <cellStyle name="20% - Accent4 2 9 6" xfId="2040"/>
    <cellStyle name="20% - Accent4 2 9 7" xfId="2041"/>
    <cellStyle name="20% - Accent4 2 9 8" xfId="2042"/>
    <cellStyle name="20% - Accent4 3" xfId="2043"/>
    <cellStyle name="20% - Accent4 3 10" xfId="2044"/>
    <cellStyle name="20% - Accent4 3 10 2" xfId="2045"/>
    <cellStyle name="20% - Accent4 3 10 3" xfId="2046"/>
    <cellStyle name="20% - Accent4 3 10 4" xfId="2047"/>
    <cellStyle name="20% - Accent4 3 10 5" xfId="2048"/>
    <cellStyle name="20% - Accent4 3 10 6" xfId="2049"/>
    <cellStyle name="20% - Accent4 3 10 7" xfId="2050"/>
    <cellStyle name="20% - Accent4 3 10 8" xfId="2051"/>
    <cellStyle name="20% - Accent4 3 11" xfId="2052"/>
    <cellStyle name="20% - Accent4 3 11 2" xfId="2053"/>
    <cellStyle name="20% - Accent4 3 11 3" xfId="2054"/>
    <cellStyle name="20% - Accent4 3 11 4" xfId="2055"/>
    <cellStyle name="20% - Accent4 3 11 5" xfId="2056"/>
    <cellStyle name="20% - Accent4 3 11 6" xfId="2057"/>
    <cellStyle name="20% - Accent4 3 11 7" xfId="2058"/>
    <cellStyle name="20% - Accent4 3 11 8" xfId="2059"/>
    <cellStyle name="20% - Accent4 3 12" xfId="2060"/>
    <cellStyle name="20% - Accent4 3 12 2" xfId="2061"/>
    <cellStyle name="20% - Accent4 3 12 3" xfId="2062"/>
    <cellStyle name="20% - Accent4 3 12 4" xfId="2063"/>
    <cellStyle name="20% - Accent4 3 12 5" xfId="2064"/>
    <cellStyle name="20% - Accent4 3 12 6" xfId="2065"/>
    <cellStyle name="20% - Accent4 3 12 7" xfId="2066"/>
    <cellStyle name="20% - Accent4 3 12 8" xfId="2067"/>
    <cellStyle name="20% - Accent4 3 13" xfId="2068"/>
    <cellStyle name="20% - Accent4 3 13 2" xfId="2069"/>
    <cellStyle name="20% - Accent4 3 13 3" xfId="2070"/>
    <cellStyle name="20% - Accent4 3 13 4" xfId="2071"/>
    <cellStyle name="20% - Accent4 3 13 5" xfId="2072"/>
    <cellStyle name="20% - Accent4 3 13 6" xfId="2073"/>
    <cellStyle name="20% - Accent4 3 13 7" xfId="2074"/>
    <cellStyle name="20% - Accent4 3 13 8" xfId="2075"/>
    <cellStyle name="20% - Accent4 3 14" xfId="2076"/>
    <cellStyle name="20% - Accent4 3 14 2" xfId="2077"/>
    <cellStyle name="20% - Accent4 3 14 3" xfId="2078"/>
    <cellStyle name="20% - Accent4 3 14 4" xfId="2079"/>
    <cellStyle name="20% - Accent4 3 14 5" xfId="2080"/>
    <cellStyle name="20% - Accent4 3 14 6" xfId="2081"/>
    <cellStyle name="20% - Accent4 3 14 7" xfId="2082"/>
    <cellStyle name="20% - Accent4 3 14 8" xfId="2083"/>
    <cellStyle name="20% - Accent4 3 15" xfId="2084"/>
    <cellStyle name="20% - Accent4 3 15 2" xfId="2085"/>
    <cellStyle name="20% - Accent4 3 15 3" xfId="2086"/>
    <cellStyle name="20% - Accent4 3 15 4" xfId="2087"/>
    <cellStyle name="20% - Accent4 3 15 5" xfId="2088"/>
    <cellStyle name="20% - Accent4 3 15 6" xfId="2089"/>
    <cellStyle name="20% - Accent4 3 15 7" xfId="2090"/>
    <cellStyle name="20% - Accent4 3 15 8" xfId="2091"/>
    <cellStyle name="20% - Accent4 3 16" xfId="2092"/>
    <cellStyle name="20% - Accent4 3 16 2" xfId="2093"/>
    <cellStyle name="20% - Accent4 3 16 3" xfId="2094"/>
    <cellStyle name="20% - Accent4 3 16 4" xfId="2095"/>
    <cellStyle name="20% - Accent4 3 16 5" xfId="2096"/>
    <cellStyle name="20% - Accent4 3 16 6" xfId="2097"/>
    <cellStyle name="20% - Accent4 3 16 7" xfId="2098"/>
    <cellStyle name="20% - Accent4 3 16 8" xfId="2099"/>
    <cellStyle name="20% - Accent4 3 17" xfId="2100"/>
    <cellStyle name="20% - Accent4 3 17 2" xfId="2101"/>
    <cellStyle name="20% - Accent4 3 17 3" xfId="2102"/>
    <cellStyle name="20% - Accent4 3 17 4" xfId="2103"/>
    <cellStyle name="20% - Accent4 3 17 5" xfId="2104"/>
    <cellStyle name="20% - Accent4 3 17 6" xfId="2105"/>
    <cellStyle name="20% - Accent4 3 17 7" xfId="2106"/>
    <cellStyle name="20% - Accent4 3 17 8" xfId="2107"/>
    <cellStyle name="20% - Accent4 3 18" xfId="2108"/>
    <cellStyle name="20% - Accent4 3 18 2" xfId="2109"/>
    <cellStyle name="20% - Accent4 3 18 3" xfId="2110"/>
    <cellStyle name="20% - Accent4 3 18 4" xfId="2111"/>
    <cellStyle name="20% - Accent4 3 18 5" xfId="2112"/>
    <cellStyle name="20% - Accent4 3 18 6" xfId="2113"/>
    <cellStyle name="20% - Accent4 3 18 7" xfId="2114"/>
    <cellStyle name="20% - Accent4 3 18 8" xfId="2115"/>
    <cellStyle name="20% - Accent4 3 19" xfId="2116"/>
    <cellStyle name="20% - Accent4 3 2" xfId="2117"/>
    <cellStyle name="20% - Accent4 3 2 2" xfId="2118"/>
    <cellStyle name="20% - Accent4 3 2 3" xfId="2119"/>
    <cellStyle name="20% - Accent4 3 2 4" xfId="2120"/>
    <cellStyle name="20% - Accent4 3 2 5" xfId="2121"/>
    <cellStyle name="20% - Accent4 3 2 6" xfId="2122"/>
    <cellStyle name="20% - Accent4 3 2 7" xfId="2123"/>
    <cellStyle name="20% - Accent4 3 2 8" xfId="2124"/>
    <cellStyle name="20% - Accent4 3 20" xfId="2125"/>
    <cellStyle name="20% - Accent4 3 21" xfId="2126"/>
    <cellStyle name="20% - Accent4 3 22" xfId="2127"/>
    <cellStyle name="20% - Accent4 3 23" xfId="2128"/>
    <cellStyle name="20% - Accent4 3 24" xfId="2129"/>
    <cellStyle name="20% - Accent4 3 25" xfId="2130"/>
    <cellStyle name="20% - Accent4 3 26" xfId="2131"/>
    <cellStyle name="20% - Accent4 3 27" xfId="2132"/>
    <cellStyle name="20% - Accent4 3 28" xfId="2133"/>
    <cellStyle name="20% - Accent4 3 29" xfId="2134"/>
    <cellStyle name="20% - Accent4 3 3" xfId="2135"/>
    <cellStyle name="20% - Accent4 3 3 2" xfId="2136"/>
    <cellStyle name="20% - Accent4 3 3 3" xfId="2137"/>
    <cellStyle name="20% - Accent4 3 3 4" xfId="2138"/>
    <cellStyle name="20% - Accent4 3 3 5" xfId="2139"/>
    <cellStyle name="20% - Accent4 3 3 6" xfId="2140"/>
    <cellStyle name="20% - Accent4 3 3 7" xfId="2141"/>
    <cellStyle name="20% - Accent4 3 3 8" xfId="2142"/>
    <cellStyle name="20% - Accent4 3 30" xfId="2143"/>
    <cellStyle name="20% - Accent4 3 31" xfId="2144"/>
    <cellStyle name="20% - Accent4 3 32" xfId="2145"/>
    <cellStyle name="20% - Accent4 3 33" xfId="2146"/>
    <cellStyle name="20% - Accent4 3 34" xfId="2147"/>
    <cellStyle name="20% - Accent4 3 35" xfId="2148"/>
    <cellStyle name="20% - Accent4 3 4" xfId="2149"/>
    <cellStyle name="20% - Accent4 3 4 2" xfId="2150"/>
    <cellStyle name="20% - Accent4 3 4 3" xfId="2151"/>
    <cellStyle name="20% - Accent4 3 4 4" xfId="2152"/>
    <cellStyle name="20% - Accent4 3 4 5" xfId="2153"/>
    <cellStyle name="20% - Accent4 3 4 6" xfId="2154"/>
    <cellStyle name="20% - Accent4 3 4 7" xfId="2155"/>
    <cellStyle name="20% - Accent4 3 4 8" xfId="2156"/>
    <cellStyle name="20% - Accent4 3 5" xfId="2157"/>
    <cellStyle name="20% - Accent4 3 5 2" xfId="2158"/>
    <cellStyle name="20% - Accent4 3 5 3" xfId="2159"/>
    <cellStyle name="20% - Accent4 3 5 4" xfId="2160"/>
    <cellStyle name="20% - Accent4 3 5 5" xfId="2161"/>
    <cellStyle name="20% - Accent4 3 5 6" xfId="2162"/>
    <cellStyle name="20% - Accent4 3 5 7" xfId="2163"/>
    <cellStyle name="20% - Accent4 3 5 8" xfId="2164"/>
    <cellStyle name="20% - Accent4 3 6" xfId="2165"/>
    <cellStyle name="20% - Accent4 3 6 2" xfId="2166"/>
    <cellStyle name="20% - Accent4 3 6 3" xfId="2167"/>
    <cellStyle name="20% - Accent4 3 6 4" xfId="2168"/>
    <cellStyle name="20% - Accent4 3 6 5" xfId="2169"/>
    <cellStyle name="20% - Accent4 3 6 6" xfId="2170"/>
    <cellStyle name="20% - Accent4 3 6 7" xfId="2171"/>
    <cellStyle name="20% - Accent4 3 6 8" xfId="2172"/>
    <cellStyle name="20% - Accent4 3 7" xfId="2173"/>
    <cellStyle name="20% - Accent4 3 7 2" xfId="2174"/>
    <cellStyle name="20% - Accent4 3 7 3" xfId="2175"/>
    <cellStyle name="20% - Accent4 3 7 4" xfId="2176"/>
    <cellStyle name="20% - Accent4 3 7 5" xfId="2177"/>
    <cellStyle name="20% - Accent4 3 7 6" xfId="2178"/>
    <cellStyle name="20% - Accent4 3 7 7" xfId="2179"/>
    <cellStyle name="20% - Accent4 3 7 8" xfId="2180"/>
    <cellStyle name="20% - Accent4 3 8" xfId="2181"/>
    <cellStyle name="20% - Accent4 3 8 2" xfId="2182"/>
    <cellStyle name="20% - Accent4 3 8 3" xfId="2183"/>
    <cellStyle name="20% - Accent4 3 8 4" xfId="2184"/>
    <cellStyle name="20% - Accent4 3 8 5" xfId="2185"/>
    <cellStyle name="20% - Accent4 3 8 6" xfId="2186"/>
    <cellStyle name="20% - Accent4 3 8 7" xfId="2187"/>
    <cellStyle name="20% - Accent4 3 8 8" xfId="2188"/>
    <cellStyle name="20% - Accent4 3 9" xfId="2189"/>
    <cellStyle name="20% - Accent4 3 9 2" xfId="2190"/>
    <cellStyle name="20% - Accent4 3 9 3" xfId="2191"/>
    <cellStyle name="20% - Accent4 3 9 4" xfId="2192"/>
    <cellStyle name="20% - Accent4 3 9 5" xfId="2193"/>
    <cellStyle name="20% - Accent4 3 9 6" xfId="2194"/>
    <cellStyle name="20% - Accent4 3 9 7" xfId="2195"/>
    <cellStyle name="20% - Accent4 3 9 8" xfId="2196"/>
    <cellStyle name="20% - Accent4 4" xfId="2197"/>
    <cellStyle name="20% - Accent4 4 10" xfId="2198"/>
    <cellStyle name="20% - Accent4 4 10 2" xfId="2199"/>
    <cellStyle name="20% - Accent4 4 10 3" xfId="2200"/>
    <cellStyle name="20% - Accent4 4 10 4" xfId="2201"/>
    <cellStyle name="20% - Accent4 4 10 5" xfId="2202"/>
    <cellStyle name="20% - Accent4 4 10 6" xfId="2203"/>
    <cellStyle name="20% - Accent4 4 10 7" xfId="2204"/>
    <cellStyle name="20% - Accent4 4 10 8" xfId="2205"/>
    <cellStyle name="20% - Accent4 4 11" xfId="2206"/>
    <cellStyle name="20% - Accent4 4 11 2" xfId="2207"/>
    <cellStyle name="20% - Accent4 4 11 3" xfId="2208"/>
    <cellStyle name="20% - Accent4 4 11 4" xfId="2209"/>
    <cellStyle name="20% - Accent4 4 11 5" xfId="2210"/>
    <cellStyle name="20% - Accent4 4 11 6" xfId="2211"/>
    <cellStyle name="20% - Accent4 4 11 7" xfId="2212"/>
    <cellStyle name="20% - Accent4 4 11 8" xfId="2213"/>
    <cellStyle name="20% - Accent4 4 12" xfId="2214"/>
    <cellStyle name="20% - Accent4 4 12 2" xfId="2215"/>
    <cellStyle name="20% - Accent4 4 12 3" xfId="2216"/>
    <cellStyle name="20% - Accent4 4 12 4" xfId="2217"/>
    <cellStyle name="20% - Accent4 4 12 5" xfId="2218"/>
    <cellStyle name="20% - Accent4 4 12 6" xfId="2219"/>
    <cellStyle name="20% - Accent4 4 12 7" xfId="2220"/>
    <cellStyle name="20% - Accent4 4 12 8" xfId="2221"/>
    <cellStyle name="20% - Accent4 4 13" xfId="2222"/>
    <cellStyle name="20% - Accent4 4 13 2" xfId="2223"/>
    <cellStyle name="20% - Accent4 4 13 3" xfId="2224"/>
    <cellStyle name="20% - Accent4 4 13 4" xfId="2225"/>
    <cellStyle name="20% - Accent4 4 13 5" xfId="2226"/>
    <cellStyle name="20% - Accent4 4 13 6" xfId="2227"/>
    <cellStyle name="20% - Accent4 4 13 7" xfId="2228"/>
    <cellStyle name="20% - Accent4 4 13 8" xfId="2229"/>
    <cellStyle name="20% - Accent4 4 14" xfId="2230"/>
    <cellStyle name="20% - Accent4 4 14 2" xfId="2231"/>
    <cellStyle name="20% - Accent4 4 14 3" xfId="2232"/>
    <cellStyle name="20% - Accent4 4 14 4" xfId="2233"/>
    <cellStyle name="20% - Accent4 4 14 5" xfId="2234"/>
    <cellStyle name="20% - Accent4 4 14 6" xfId="2235"/>
    <cellStyle name="20% - Accent4 4 14 7" xfId="2236"/>
    <cellStyle name="20% - Accent4 4 14 8" xfId="2237"/>
    <cellStyle name="20% - Accent4 4 15" xfId="2238"/>
    <cellStyle name="20% - Accent4 4 15 2" xfId="2239"/>
    <cellStyle name="20% - Accent4 4 15 3" xfId="2240"/>
    <cellStyle name="20% - Accent4 4 15 4" xfId="2241"/>
    <cellStyle name="20% - Accent4 4 15 5" xfId="2242"/>
    <cellStyle name="20% - Accent4 4 15 6" xfId="2243"/>
    <cellStyle name="20% - Accent4 4 15 7" xfId="2244"/>
    <cellStyle name="20% - Accent4 4 15 8" xfId="2245"/>
    <cellStyle name="20% - Accent4 4 16" xfId="2246"/>
    <cellStyle name="20% - Accent4 4 16 2" xfId="2247"/>
    <cellStyle name="20% - Accent4 4 16 3" xfId="2248"/>
    <cellStyle name="20% - Accent4 4 16 4" xfId="2249"/>
    <cellStyle name="20% - Accent4 4 16 5" xfId="2250"/>
    <cellStyle name="20% - Accent4 4 16 6" xfId="2251"/>
    <cellStyle name="20% - Accent4 4 16 7" xfId="2252"/>
    <cellStyle name="20% - Accent4 4 16 8" xfId="2253"/>
    <cellStyle name="20% - Accent4 4 17" xfId="2254"/>
    <cellStyle name="20% - Accent4 4 17 2" xfId="2255"/>
    <cellStyle name="20% - Accent4 4 17 3" xfId="2256"/>
    <cellStyle name="20% - Accent4 4 17 4" xfId="2257"/>
    <cellStyle name="20% - Accent4 4 17 5" xfId="2258"/>
    <cellStyle name="20% - Accent4 4 17 6" xfId="2259"/>
    <cellStyle name="20% - Accent4 4 17 7" xfId="2260"/>
    <cellStyle name="20% - Accent4 4 17 8" xfId="2261"/>
    <cellStyle name="20% - Accent4 4 18" xfId="2262"/>
    <cellStyle name="20% - Accent4 4 18 2" xfId="2263"/>
    <cellStyle name="20% - Accent4 4 18 3" xfId="2264"/>
    <cellStyle name="20% - Accent4 4 18 4" xfId="2265"/>
    <cellStyle name="20% - Accent4 4 18 5" xfId="2266"/>
    <cellStyle name="20% - Accent4 4 18 6" xfId="2267"/>
    <cellStyle name="20% - Accent4 4 18 7" xfId="2268"/>
    <cellStyle name="20% - Accent4 4 18 8" xfId="2269"/>
    <cellStyle name="20% - Accent4 4 19" xfId="2270"/>
    <cellStyle name="20% - Accent4 4 2" xfId="2271"/>
    <cellStyle name="20% - Accent4 4 2 2" xfId="2272"/>
    <cellStyle name="20% - Accent4 4 2 3" xfId="2273"/>
    <cellStyle name="20% - Accent4 4 2 4" xfId="2274"/>
    <cellStyle name="20% - Accent4 4 2 5" xfId="2275"/>
    <cellStyle name="20% - Accent4 4 2 6" xfId="2276"/>
    <cellStyle name="20% - Accent4 4 2 7" xfId="2277"/>
    <cellStyle name="20% - Accent4 4 2 8" xfId="2278"/>
    <cellStyle name="20% - Accent4 4 20" xfId="2279"/>
    <cellStyle name="20% - Accent4 4 21" xfId="2280"/>
    <cellStyle name="20% - Accent4 4 22" xfId="2281"/>
    <cellStyle name="20% - Accent4 4 23" xfId="2282"/>
    <cellStyle name="20% - Accent4 4 24" xfId="2283"/>
    <cellStyle name="20% - Accent4 4 25" xfId="2284"/>
    <cellStyle name="20% - Accent4 4 26" xfId="2285"/>
    <cellStyle name="20% - Accent4 4 27" xfId="2286"/>
    <cellStyle name="20% - Accent4 4 28" xfId="2287"/>
    <cellStyle name="20% - Accent4 4 29" xfId="2288"/>
    <cellStyle name="20% - Accent4 4 3" xfId="2289"/>
    <cellStyle name="20% - Accent4 4 3 2" xfId="2290"/>
    <cellStyle name="20% - Accent4 4 3 3" xfId="2291"/>
    <cellStyle name="20% - Accent4 4 3 4" xfId="2292"/>
    <cellStyle name="20% - Accent4 4 3 5" xfId="2293"/>
    <cellStyle name="20% - Accent4 4 3 6" xfId="2294"/>
    <cellStyle name="20% - Accent4 4 3 7" xfId="2295"/>
    <cellStyle name="20% - Accent4 4 3 8" xfId="2296"/>
    <cellStyle name="20% - Accent4 4 30" xfId="2297"/>
    <cellStyle name="20% - Accent4 4 31" xfId="2298"/>
    <cellStyle name="20% - Accent4 4 32" xfId="2299"/>
    <cellStyle name="20% - Accent4 4 33" xfId="2300"/>
    <cellStyle name="20% - Accent4 4 34" xfId="2301"/>
    <cellStyle name="20% - Accent4 4 35" xfId="2302"/>
    <cellStyle name="20% - Accent4 4 4" xfId="2303"/>
    <cellStyle name="20% - Accent4 4 4 2" xfId="2304"/>
    <cellStyle name="20% - Accent4 4 4 3" xfId="2305"/>
    <cellStyle name="20% - Accent4 4 4 4" xfId="2306"/>
    <cellStyle name="20% - Accent4 4 4 5" xfId="2307"/>
    <cellStyle name="20% - Accent4 4 4 6" xfId="2308"/>
    <cellStyle name="20% - Accent4 4 4 7" xfId="2309"/>
    <cellStyle name="20% - Accent4 4 4 8" xfId="2310"/>
    <cellStyle name="20% - Accent4 4 5" xfId="2311"/>
    <cellStyle name="20% - Accent4 4 5 2" xfId="2312"/>
    <cellStyle name="20% - Accent4 4 5 3" xfId="2313"/>
    <cellStyle name="20% - Accent4 4 5 4" xfId="2314"/>
    <cellStyle name="20% - Accent4 4 5 5" xfId="2315"/>
    <cellStyle name="20% - Accent4 4 5 6" xfId="2316"/>
    <cellStyle name="20% - Accent4 4 5 7" xfId="2317"/>
    <cellStyle name="20% - Accent4 4 5 8" xfId="2318"/>
    <cellStyle name="20% - Accent4 4 6" xfId="2319"/>
    <cellStyle name="20% - Accent4 4 6 2" xfId="2320"/>
    <cellStyle name="20% - Accent4 4 6 3" xfId="2321"/>
    <cellStyle name="20% - Accent4 4 6 4" xfId="2322"/>
    <cellStyle name="20% - Accent4 4 6 5" xfId="2323"/>
    <cellStyle name="20% - Accent4 4 6 6" xfId="2324"/>
    <cellStyle name="20% - Accent4 4 6 7" xfId="2325"/>
    <cellStyle name="20% - Accent4 4 6 8" xfId="2326"/>
    <cellStyle name="20% - Accent4 4 7" xfId="2327"/>
    <cellStyle name="20% - Accent4 4 7 2" xfId="2328"/>
    <cellStyle name="20% - Accent4 4 7 3" xfId="2329"/>
    <cellStyle name="20% - Accent4 4 7 4" xfId="2330"/>
    <cellStyle name="20% - Accent4 4 7 5" xfId="2331"/>
    <cellStyle name="20% - Accent4 4 7 6" xfId="2332"/>
    <cellStyle name="20% - Accent4 4 7 7" xfId="2333"/>
    <cellStyle name="20% - Accent4 4 7 8" xfId="2334"/>
    <cellStyle name="20% - Accent4 4 8" xfId="2335"/>
    <cellStyle name="20% - Accent4 4 8 2" xfId="2336"/>
    <cellStyle name="20% - Accent4 4 8 3" xfId="2337"/>
    <cellStyle name="20% - Accent4 4 8 4" xfId="2338"/>
    <cellStyle name="20% - Accent4 4 8 5" xfId="2339"/>
    <cellStyle name="20% - Accent4 4 8 6" xfId="2340"/>
    <cellStyle name="20% - Accent4 4 8 7" xfId="2341"/>
    <cellStyle name="20% - Accent4 4 8 8" xfId="2342"/>
    <cellStyle name="20% - Accent4 4 9" xfId="2343"/>
    <cellStyle name="20% - Accent4 4 9 2" xfId="2344"/>
    <cellStyle name="20% - Accent4 4 9 3" xfId="2345"/>
    <cellStyle name="20% - Accent4 4 9 4" xfId="2346"/>
    <cellStyle name="20% - Accent4 4 9 5" xfId="2347"/>
    <cellStyle name="20% - Accent4 4 9 6" xfId="2348"/>
    <cellStyle name="20% - Accent4 4 9 7" xfId="2349"/>
    <cellStyle name="20% - Accent4 4 9 8" xfId="2350"/>
    <cellStyle name="20% - Accent4 5" xfId="2351"/>
    <cellStyle name="20% - Accent4 5 10" xfId="2352"/>
    <cellStyle name="20% - Accent4 5 10 2" xfId="2353"/>
    <cellStyle name="20% - Accent4 5 10 3" xfId="2354"/>
    <cellStyle name="20% - Accent4 5 10 4" xfId="2355"/>
    <cellStyle name="20% - Accent4 5 10 5" xfId="2356"/>
    <cellStyle name="20% - Accent4 5 10 6" xfId="2357"/>
    <cellStyle name="20% - Accent4 5 10 7" xfId="2358"/>
    <cellStyle name="20% - Accent4 5 10 8" xfId="2359"/>
    <cellStyle name="20% - Accent4 5 11" xfId="2360"/>
    <cellStyle name="20% - Accent4 5 11 2" xfId="2361"/>
    <cellStyle name="20% - Accent4 5 11 3" xfId="2362"/>
    <cellStyle name="20% - Accent4 5 11 4" xfId="2363"/>
    <cellStyle name="20% - Accent4 5 11 5" xfId="2364"/>
    <cellStyle name="20% - Accent4 5 11 6" xfId="2365"/>
    <cellStyle name="20% - Accent4 5 11 7" xfId="2366"/>
    <cellStyle name="20% - Accent4 5 11 8" xfId="2367"/>
    <cellStyle name="20% - Accent4 5 12" xfId="2368"/>
    <cellStyle name="20% - Accent4 5 12 2" xfId="2369"/>
    <cellStyle name="20% - Accent4 5 12 3" xfId="2370"/>
    <cellStyle name="20% - Accent4 5 12 4" xfId="2371"/>
    <cellStyle name="20% - Accent4 5 12 5" xfId="2372"/>
    <cellStyle name="20% - Accent4 5 12 6" xfId="2373"/>
    <cellStyle name="20% - Accent4 5 12 7" xfId="2374"/>
    <cellStyle name="20% - Accent4 5 12 8" xfId="2375"/>
    <cellStyle name="20% - Accent4 5 13" xfId="2376"/>
    <cellStyle name="20% - Accent4 5 13 2" xfId="2377"/>
    <cellStyle name="20% - Accent4 5 13 3" xfId="2378"/>
    <cellStyle name="20% - Accent4 5 13 4" xfId="2379"/>
    <cellStyle name="20% - Accent4 5 13 5" xfId="2380"/>
    <cellStyle name="20% - Accent4 5 13 6" xfId="2381"/>
    <cellStyle name="20% - Accent4 5 13 7" xfId="2382"/>
    <cellStyle name="20% - Accent4 5 13 8" xfId="2383"/>
    <cellStyle name="20% - Accent4 5 14" xfId="2384"/>
    <cellStyle name="20% - Accent4 5 14 2" xfId="2385"/>
    <cellStyle name="20% - Accent4 5 14 3" xfId="2386"/>
    <cellStyle name="20% - Accent4 5 14 4" xfId="2387"/>
    <cellStyle name="20% - Accent4 5 14 5" xfId="2388"/>
    <cellStyle name="20% - Accent4 5 14 6" xfId="2389"/>
    <cellStyle name="20% - Accent4 5 14 7" xfId="2390"/>
    <cellStyle name="20% - Accent4 5 14 8" xfId="2391"/>
    <cellStyle name="20% - Accent4 5 15" xfId="2392"/>
    <cellStyle name="20% - Accent4 5 15 2" xfId="2393"/>
    <cellStyle name="20% - Accent4 5 15 3" xfId="2394"/>
    <cellStyle name="20% - Accent4 5 15 4" xfId="2395"/>
    <cellStyle name="20% - Accent4 5 15 5" xfId="2396"/>
    <cellStyle name="20% - Accent4 5 15 6" xfId="2397"/>
    <cellStyle name="20% - Accent4 5 15 7" xfId="2398"/>
    <cellStyle name="20% - Accent4 5 15 8" xfId="2399"/>
    <cellStyle name="20% - Accent4 5 16" xfId="2400"/>
    <cellStyle name="20% - Accent4 5 16 2" xfId="2401"/>
    <cellStyle name="20% - Accent4 5 16 3" xfId="2402"/>
    <cellStyle name="20% - Accent4 5 16 4" xfId="2403"/>
    <cellStyle name="20% - Accent4 5 16 5" xfId="2404"/>
    <cellStyle name="20% - Accent4 5 16 6" xfId="2405"/>
    <cellStyle name="20% - Accent4 5 16 7" xfId="2406"/>
    <cellStyle name="20% - Accent4 5 16 8" xfId="2407"/>
    <cellStyle name="20% - Accent4 5 17" xfId="2408"/>
    <cellStyle name="20% - Accent4 5 17 2" xfId="2409"/>
    <cellStyle name="20% - Accent4 5 17 3" xfId="2410"/>
    <cellStyle name="20% - Accent4 5 17 4" xfId="2411"/>
    <cellStyle name="20% - Accent4 5 17 5" xfId="2412"/>
    <cellStyle name="20% - Accent4 5 17 6" xfId="2413"/>
    <cellStyle name="20% - Accent4 5 17 7" xfId="2414"/>
    <cellStyle name="20% - Accent4 5 17 8" xfId="2415"/>
    <cellStyle name="20% - Accent4 5 18" xfId="2416"/>
    <cellStyle name="20% - Accent4 5 18 2" xfId="2417"/>
    <cellStyle name="20% - Accent4 5 18 3" xfId="2418"/>
    <cellStyle name="20% - Accent4 5 18 4" xfId="2419"/>
    <cellStyle name="20% - Accent4 5 18 5" xfId="2420"/>
    <cellStyle name="20% - Accent4 5 18 6" xfId="2421"/>
    <cellStyle name="20% - Accent4 5 18 7" xfId="2422"/>
    <cellStyle name="20% - Accent4 5 18 8" xfId="2423"/>
    <cellStyle name="20% - Accent4 5 19" xfId="2424"/>
    <cellStyle name="20% - Accent4 5 2" xfId="2425"/>
    <cellStyle name="20% - Accent4 5 2 2" xfId="2426"/>
    <cellStyle name="20% - Accent4 5 2 3" xfId="2427"/>
    <cellStyle name="20% - Accent4 5 2 4" xfId="2428"/>
    <cellStyle name="20% - Accent4 5 2 5" xfId="2429"/>
    <cellStyle name="20% - Accent4 5 2 6" xfId="2430"/>
    <cellStyle name="20% - Accent4 5 2 7" xfId="2431"/>
    <cellStyle name="20% - Accent4 5 2 8" xfId="2432"/>
    <cellStyle name="20% - Accent4 5 20" xfId="2433"/>
    <cellStyle name="20% - Accent4 5 21" xfId="2434"/>
    <cellStyle name="20% - Accent4 5 22" xfId="2435"/>
    <cellStyle name="20% - Accent4 5 23" xfId="2436"/>
    <cellStyle name="20% - Accent4 5 24" xfId="2437"/>
    <cellStyle name="20% - Accent4 5 25" xfId="2438"/>
    <cellStyle name="20% - Accent4 5 26" xfId="2439"/>
    <cellStyle name="20% - Accent4 5 27" xfId="2440"/>
    <cellStyle name="20% - Accent4 5 28" xfId="2441"/>
    <cellStyle name="20% - Accent4 5 29" xfId="2442"/>
    <cellStyle name="20% - Accent4 5 3" xfId="2443"/>
    <cellStyle name="20% - Accent4 5 3 2" xfId="2444"/>
    <cellStyle name="20% - Accent4 5 3 3" xfId="2445"/>
    <cellStyle name="20% - Accent4 5 3 4" xfId="2446"/>
    <cellStyle name="20% - Accent4 5 3 5" xfId="2447"/>
    <cellStyle name="20% - Accent4 5 3 6" xfId="2448"/>
    <cellStyle name="20% - Accent4 5 3 7" xfId="2449"/>
    <cellStyle name="20% - Accent4 5 3 8" xfId="2450"/>
    <cellStyle name="20% - Accent4 5 30" xfId="2451"/>
    <cellStyle name="20% - Accent4 5 31" xfId="2452"/>
    <cellStyle name="20% - Accent4 5 32" xfId="2453"/>
    <cellStyle name="20% - Accent4 5 33" xfId="2454"/>
    <cellStyle name="20% - Accent4 5 34" xfId="2455"/>
    <cellStyle name="20% - Accent4 5 35" xfId="2456"/>
    <cellStyle name="20% - Accent4 5 4" xfId="2457"/>
    <cellStyle name="20% - Accent4 5 4 2" xfId="2458"/>
    <cellStyle name="20% - Accent4 5 4 3" xfId="2459"/>
    <cellStyle name="20% - Accent4 5 4 4" xfId="2460"/>
    <cellStyle name="20% - Accent4 5 4 5" xfId="2461"/>
    <cellStyle name="20% - Accent4 5 4 6" xfId="2462"/>
    <cellStyle name="20% - Accent4 5 4 7" xfId="2463"/>
    <cellStyle name="20% - Accent4 5 4 8" xfId="2464"/>
    <cellStyle name="20% - Accent4 5 5" xfId="2465"/>
    <cellStyle name="20% - Accent4 5 5 2" xfId="2466"/>
    <cellStyle name="20% - Accent4 5 5 3" xfId="2467"/>
    <cellStyle name="20% - Accent4 5 5 4" xfId="2468"/>
    <cellStyle name="20% - Accent4 5 5 5" xfId="2469"/>
    <cellStyle name="20% - Accent4 5 5 6" xfId="2470"/>
    <cellStyle name="20% - Accent4 5 5 7" xfId="2471"/>
    <cellStyle name="20% - Accent4 5 5 8" xfId="2472"/>
    <cellStyle name="20% - Accent4 5 6" xfId="2473"/>
    <cellStyle name="20% - Accent4 5 6 2" xfId="2474"/>
    <cellStyle name="20% - Accent4 5 6 3" xfId="2475"/>
    <cellStyle name="20% - Accent4 5 6 4" xfId="2476"/>
    <cellStyle name="20% - Accent4 5 6 5" xfId="2477"/>
    <cellStyle name="20% - Accent4 5 6 6" xfId="2478"/>
    <cellStyle name="20% - Accent4 5 6 7" xfId="2479"/>
    <cellStyle name="20% - Accent4 5 6 8" xfId="2480"/>
    <cellStyle name="20% - Accent4 5 7" xfId="2481"/>
    <cellStyle name="20% - Accent4 5 7 2" xfId="2482"/>
    <cellStyle name="20% - Accent4 5 7 3" xfId="2483"/>
    <cellStyle name="20% - Accent4 5 7 4" xfId="2484"/>
    <cellStyle name="20% - Accent4 5 7 5" xfId="2485"/>
    <cellStyle name="20% - Accent4 5 7 6" xfId="2486"/>
    <cellStyle name="20% - Accent4 5 7 7" xfId="2487"/>
    <cellStyle name="20% - Accent4 5 7 8" xfId="2488"/>
    <cellStyle name="20% - Accent4 5 8" xfId="2489"/>
    <cellStyle name="20% - Accent4 5 8 2" xfId="2490"/>
    <cellStyle name="20% - Accent4 5 8 3" xfId="2491"/>
    <cellStyle name="20% - Accent4 5 8 4" xfId="2492"/>
    <cellStyle name="20% - Accent4 5 8 5" xfId="2493"/>
    <cellStyle name="20% - Accent4 5 8 6" xfId="2494"/>
    <cellStyle name="20% - Accent4 5 8 7" xfId="2495"/>
    <cellStyle name="20% - Accent4 5 8 8" xfId="2496"/>
    <cellStyle name="20% - Accent4 5 9" xfId="2497"/>
    <cellStyle name="20% - Accent4 5 9 2" xfId="2498"/>
    <cellStyle name="20% - Accent4 5 9 3" xfId="2499"/>
    <cellStyle name="20% - Accent4 5 9 4" xfId="2500"/>
    <cellStyle name="20% - Accent4 5 9 5" xfId="2501"/>
    <cellStyle name="20% - Accent4 5 9 6" xfId="2502"/>
    <cellStyle name="20% - Accent4 5 9 7" xfId="2503"/>
    <cellStyle name="20% - Accent4 5 9 8" xfId="2504"/>
    <cellStyle name="20% - Accent4 6" xfId="2505"/>
    <cellStyle name="20% - Accent5 2" xfId="2506"/>
    <cellStyle name="20% - Accent5 2 2" xfId="2507"/>
    <cellStyle name="20% - Accent5 2 3" xfId="2508"/>
    <cellStyle name="20% - Accent5 2 4" xfId="2509"/>
    <cellStyle name="20% - Accent5 3" xfId="2510"/>
    <cellStyle name="20% - Accent5 3 2" xfId="2511"/>
    <cellStyle name="20% - Accent5 3 2 2" xfId="2512"/>
    <cellStyle name="20% - Accent5 3 2 3" xfId="2513"/>
    <cellStyle name="20% - Accent5 3 3" xfId="2514"/>
    <cellStyle name="20% - Accent5 3 4" xfId="2515"/>
    <cellStyle name="20% - Accent5 4" xfId="2516"/>
    <cellStyle name="20% - Accent5 4 2" xfId="2517"/>
    <cellStyle name="20% - Accent5 4 3" xfId="2518"/>
    <cellStyle name="20% - Accent5 5" xfId="2519"/>
    <cellStyle name="20% - Accent5 6" xfId="2520"/>
    <cellStyle name="20% - Accent6 2" xfId="2521"/>
    <cellStyle name="20% - Accent6 2 10" xfId="2522"/>
    <cellStyle name="20% - Accent6 2 10 2" xfId="2523"/>
    <cellStyle name="20% - Accent6 2 10 3" xfId="2524"/>
    <cellStyle name="20% - Accent6 2 10 4" xfId="2525"/>
    <cellStyle name="20% - Accent6 2 10 5" xfId="2526"/>
    <cellStyle name="20% - Accent6 2 10 6" xfId="2527"/>
    <cellStyle name="20% - Accent6 2 10 7" xfId="2528"/>
    <cellStyle name="20% - Accent6 2 10 8" xfId="2529"/>
    <cellStyle name="20% - Accent6 2 11" xfId="2530"/>
    <cellStyle name="20% - Accent6 2 11 2" xfId="2531"/>
    <cellStyle name="20% - Accent6 2 11 3" xfId="2532"/>
    <cellStyle name="20% - Accent6 2 11 4" xfId="2533"/>
    <cellStyle name="20% - Accent6 2 11 5" xfId="2534"/>
    <cellStyle name="20% - Accent6 2 11 6" xfId="2535"/>
    <cellStyle name="20% - Accent6 2 11 7" xfId="2536"/>
    <cellStyle name="20% - Accent6 2 11 8" xfId="2537"/>
    <cellStyle name="20% - Accent6 2 12" xfId="2538"/>
    <cellStyle name="20% - Accent6 2 12 2" xfId="2539"/>
    <cellStyle name="20% - Accent6 2 12 3" xfId="2540"/>
    <cellStyle name="20% - Accent6 2 12 4" xfId="2541"/>
    <cellStyle name="20% - Accent6 2 12 5" xfId="2542"/>
    <cellStyle name="20% - Accent6 2 12 6" xfId="2543"/>
    <cellStyle name="20% - Accent6 2 12 7" xfId="2544"/>
    <cellStyle name="20% - Accent6 2 12 8" xfId="2545"/>
    <cellStyle name="20% - Accent6 2 13" xfId="2546"/>
    <cellStyle name="20% - Accent6 2 13 2" xfId="2547"/>
    <cellStyle name="20% - Accent6 2 13 3" xfId="2548"/>
    <cellStyle name="20% - Accent6 2 13 4" xfId="2549"/>
    <cellStyle name="20% - Accent6 2 13 5" xfId="2550"/>
    <cellStyle name="20% - Accent6 2 13 6" xfId="2551"/>
    <cellStyle name="20% - Accent6 2 13 7" xfId="2552"/>
    <cellStyle name="20% - Accent6 2 13 8" xfId="2553"/>
    <cellStyle name="20% - Accent6 2 14" xfId="2554"/>
    <cellStyle name="20% - Accent6 2 14 2" xfId="2555"/>
    <cellStyle name="20% - Accent6 2 14 3" xfId="2556"/>
    <cellStyle name="20% - Accent6 2 14 4" xfId="2557"/>
    <cellStyle name="20% - Accent6 2 14 5" xfId="2558"/>
    <cellStyle name="20% - Accent6 2 14 6" xfId="2559"/>
    <cellStyle name="20% - Accent6 2 14 7" xfId="2560"/>
    <cellStyle name="20% - Accent6 2 14 8" xfId="2561"/>
    <cellStyle name="20% - Accent6 2 15" xfId="2562"/>
    <cellStyle name="20% - Accent6 2 15 2" xfId="2563"/>
    <cellStyle name="20% - Accent6 2 15 3" xfId="2564"/>
    <cellStyle name="20% - Accent6 2 15 4" xfId="2565"/>
    <cellStyle name="20% - Accent6 2 15 5" xfId="2566"/>
    <cellStyle name="20% - Accent6 2 15 6" xfId="2567"/>
    <cellStyle name="20% - Accent6 2 15 7" xfId="2568"/>
    <cellStyle name="20% - Accent6 2 15 8" xfId="2569"/>
    <cellStyle name="20% - Accent6 2 16" xfId="2570"/>
    <cellStyle name="20% - Accent6 2 16 2" xfId="2571"/>
    <cellStyle name="20% - Accent6 2 16 3" xfId="2572"/>
    <cellStyle name="20% - Accent6 2 16 4" xfId="2573"/>
    <cellStyle name="20% - Accent6 2 16 5" xfId="2574"/>
    <cellStyle name="20% - Accent6 2 16 6" xfId="2575"/>
    <cellStyle name="20% - Accent6 2 16 7" xfId="2576"/>
    <cellStyle name="20% - Accent6 2 16 8" xfId="2577"/>
    <cellStyle name="20% - Accent6 2 17" xfId="2578"/>
    <cellStyle name="20% - Accent6 2 17 2" xfId="2579"/>
    <cellStyle name="20% - Accent6 2 17 3" xfId="2580"/>
    <cellStyle name="20% - Accent6 2 17 4" xfId="2581"/>
    <cellStyle name="20% - Accent6 2 17 5" xfId="2582"/>
    <cellStyle name="20% - Accent6 2 17 6" xfId="2583"/>
    <cellStyle name="20% - Accent6 2 17 7" xfId="2584"/>
    <cellStyle name="20% - Accent6 2 17 8" xfId="2585"/>
    <cellStyle name="20% - Accent6 2 18" xfId="2586"/>
    <cellStyle name="20% - Accent6 2 18 2" xfId="2587"/>
    <cellStyle name="20% - Accent6 2 18 3" xfId="2588"/>
    <cellStyle name="20% - Accent6 2 18 4" xfId="2589"/>
    <cellStyle name="20% - Accent6 2 18 5" xfId="2590"/>
    <cellStyle name="20% - Accent6 2 18 6" xfId="2591"/>
    <cellStyle name="20% - Accent6 2 18 7" xfId="2592"/>
    <cellStyle name="20% - Accent6 2 18 8" xfId="2593"/>
    <cellStyle name="20% - Accent6 2 19" xfId="2594"/>
    <cellStyle name="20% - Accent6 2 2" xfId="2595"/>
    <cellStyle name="20% - Accent6 2 2 2" xfId="2596"/>
    <cellStyle name="20% - Accent6 2 2 3" xfId="2597"/>
    <cellStyle name="20% - Accent6 2 2 4" xfId="2598"/>
    <cellStyle name="20% - Accent6 2 2 5" xfId="2599"/>
    <cellStyle name="20% - Accent6 2 2 6" xfId="2600"/>
    <cellStyle name="20% - Accent6 2 2 7" xfId="2601"/>
    <cellStyle name="20% - Accent6 2 2 8" xfId="2602"/>
    <cellStyle name="20% - Accent6 2 20" xfId="2603"/>
    <cellStyle name="20% - Accent6 2 21" xfId="2604"/>
    <cellStyle name="20% - Accent6 2 22" xfId="2605"/>
    <cellStyle name="20% - Accent6 2 23" xfId="2606"/>
    <cellStyle name="20% - Accent6 2 24" xfId="2607"/>
    <cellStyle name="20% - Accent6 2 25" xfId="2608"/>
    <cellStyle name="20% - Accent6 2 26" xfId="2609"/>
    <cellStyle name="20% - Accent6 2 27" xfId="2610"/>
    <cellStyle name="20% - Accent6 2 28" xfId="2611"/>
    <cellStyle name="20% - Accent6 2 29" xfId="2612"/>
    <cellStyle name="20% - Accent6 2 3" xfId="2613"/>
    <cellStyle name="20% - Accent6 2 3 2" xfId="2614"/>
    <cellStyle name="20% - Accent6 2 3 3" xfId="2615"/>
    <cellStyle name="20% - Accent6 2 3 4" xfId="2616"/>
    <cellStyle name="20% - Accent6 2 3 5" xfId="2617"/>
    <cellStyle name="20% - Accent6 2 3 6" xfId="2618"/>
    <cellStyle name="20% - Accent6 2 3 7" xfId="2619"/>
    <cellStyle name="20% - Accent6 2 3 8" xfId="2620"/>
    <cellStyle name="20% - Accent6 2 30" xfId="2621"/>
    <cellStyle name="20% - Accent6 2 31" xfId="2622"/>
    <cellStyle name="20% - Accent6 2 32" xfId="2623"/>
    <cellStyle name="20% - Accent6 2 33" xfId="2624"/>
    <cellStyle name="20% - Accent6 2 34" xfId="2625"/>
    <cellStyle name="20% - Accent6 2 35" xfId="2626"/>
    <cellStyle name="20% - Accent6 2 36" xfId="2627"/>
    <cellStyle name="20% - Accent6 2 37" xfId="2628"/>
    <cellStyle name="20% - Accent6 2 38" xfId="2629"/>
    <cellStyle name="20% - Accent6 2 4" xfId="2630"/>
    <cellStyle name="20% - Accent6 2 4 2" xfId="2631"/>
    <cellStyle name="20% - Accent6 2 4 3" xfId="2632"/>
    <cellStyle name="20% - Accent6 2 4 4" xfId="2633"/>
    <cellStyle name="20% - Accent6 2 4 5" xfId="2634"/>
    <cellStyle name="20% - Accent6 2 4 6" xfId="2635"/>
    <cellStyle name="20% - Accent6 2 4 7" xfId="2636"/>
    <cellStyle name="20% - Accent6 2 4 8" xfId="2637"/>
    <cellStyle name="20% - Accent6 2 5" xfId="2638"/>
    <cellStyle name="20% - Accent6 2 5 2" xfId="2639"/>
    <cellStyle name="20% - Accent6 2 5 3" xfId="2640"/>
    <cellStyle name="20% - Accent6 2 5 4" xfId="2641"/>
    <cellStyle name="20% - Accent6 2 5 5" xfId="2642"/>
    <cellStyle name="20% - Accent6 2 5 6" xfId="2643"/>
    <cellStyle name="20% - Accent6 2 5 7" xfId="2644"/>
    <cellStyle name="20% - Accent6 2 5 8" xfId="2645"/>
    <cellStyle name="20% - Accent6 2 6" xfId="2646"/>
    <cellStyle name="20% - Accent6 2 6 2" xfId="2647"/>
    <cellStyle name="20% - Accent6 2 6 3" xfId="2648"/>
    <cellStyle name="20% - Accent6 2 6 4" xfId="2649"/>
    <cellStyle name="20% - Accent6 2 6 5" xfId="2650"/>
    <cellStyle name="20% - Accent6 2 6 6" xfId="2651"/>
    <cellStyle name="20% - Accent6 2 6 7" xfId="2652"/>
    <cellStyle name="20% - Accent6 2 6 8" xfId="2653"/>
    <cellStyle name="20% - Accent6 2 7" xfId="2654"/>
    <cellStyle name="20% - Accent6 2 7 2" xfId="2655"/>
    <cellStyle name="20% - Accent6 2 7 3" xfId="2656"/>
    <cellStyle name="20% - Accent6 2 7 4" xfId="2657"/>
    <cellStyle name="20% - Accent6 2 7 5" xfId="2658"/>
    <cellStyle name="20% - Accent6 2 7 6" xfId="2659"/>
    <cellStyle name="20% - Accent6 2 7 7" xfId="2660"/>
    <cellStyle name="20% - Accent6 2 7 8" xfId="2661"/>
    <cellStyle name="20% - Accent6 2 8" xfId="2662"/>
    <cellStyle name="20% - Accent6 2 8 2" xfId="2663"/>
    <cellStyle name="20% - Accent6 2 8 3" xfId="2664"/>
    <cellStyle name="20% - Accent6 2 8 4" xfId="2665"/>
    <cellStyle name="20% - Accent6 2 8 5" xfId="2666"/>
    <cellStyle name="20% - Accent6 2 8 6" xfId="2667"/>
    <cellStyle name="20% - Accent6 2 8 7" xfId="2668"/>
    <cellStyle name="20% - Accent6 2 8 8" xfId="2669"/>
    <cellStyle name="20% - Accent6 2 9" xfId="2670"/>
    <cellStyle name="20% - Accent6 2 9 2" xfId="2671"/>
    <cellStyle name="20% - Accent6 2 9 3" xfId="2672"/>
    <cellStyle name="20% - Accent6 2 9 4" xfId="2673"/>
    <cellStyle name="20% - Accent6 2 9 5" xfId="2674"/>
    <cellStyle name="20% - Accent6 2 9 6" xfId="2675"/>
    <cellStyle name="20% - Accent6 2 9 7" xfId="2676"/>
    <cellStyle name="20% - Accent6 2 9 8" xfId="2677"/>
    <cellStyle name="20% - Accent6 3" xfId="2678"/>
    <cellStyle name="20% - Accent6 3 10" xfId="2679"/>
    <cellStyle name="20% - Accent6 3 10 2" xfId="2680"/>
    <cellStyle name="20% - Accent6 3 10 3" xfId="2681"/>
    <cellStyle name="20% - Accent6 3 10 4" xfId="2682"/>
    <cellStyle name="20% - Accent6 3 10 5" xfId="2683"/>
    <cellStyle name="20% - Accent6 3 10 6" xfId="2684"/>
    <cellStyle name="20% - Accent6 3 10 7" xfId="2685"/>
    <cellStyle name="20% - Accent6 3 10 8" xfId="2686"/>
    <cellStyle name="20% - Accent6 3 11" xfId="2687"/>
    <cellStyle name="20% - Accent6 3 11 2" xfId="2688"/>
    <cellStyle name="20% - Accent6 3 11 3" xfId="2689"/>
    <cellStyle name="20% - Accent6 3 11 4" xfId="2690"/>
    <cellStyle name="20% - Accent6 3 11 5" xfId="2691"/>
    <cellStyle name="20% - Accent6 3 11 6" xfId="2692"/>
    <cellStyle name="20% - Accent6 3 11 7" xfId="2693"/>
    <cellStyle name="20% - Accent6 3 11 8" xfId="2694"/>
    <cellStyle name="20% - Accent6 3 12" xfId="2695"/>
    <cellStyle name="20% - Accent6 3 12 2" xfId="2696"/>
    <cellStyle name="20% - Accent6 3 12 3" xfId="2697"/>
    <cellStyle name="20% - Accent6 3 12 4" xfId="2698"/>
    <cellStyle name="20% - Accent6 3 12 5" xfId="2699"/>
    <cellStyle name="20% - Accent6 3 12 6" xfId="2700"/>
    <cellStyle name="20% - Accent6 3 12 7" xfId="2701"/>
    <cellStyle name="20% - Accent6 3 12 8" xfId="2702"/>
    <cellStyle name="20% - Accent6 3 13" xfId="2703"/>
    <cellStyle name="20% - Accent6 3 13 2" xfId="2704"/>
    <cellStyle name="20% - Accent6 3 13 3" xfId="2705"/>
    <cellStyle name="20% - Accent6 3 13 4" xfId="2706"/>
    <cellStyle name="20% - Accent6 3 13 5" xfId="2707"/>
    <cellStyle name="20% - Accent6 3 13 6" xfId="2708"/>
    <cellStyle name="20% - Accent6 3 13 7" xfId="2709"/>
    <cellStyle name="20% - Accent6 3 13 8" xfId="2710"/>
    <cellStyle name="20% - Accent6 3 14" xfId="2711"/>
    <cellStyle name="20% - Accent6 3 14 2" xfId="2712"/>
    <cellStyle name="20% - Accent6 3 14 3" xfId="2713"/>
    <cellStyle name="20% - Accent6 3 14 4" xfId="2714"/>
    <cellStyle name="20% - Accent6 3 14 5" xfId="2715"/>
    <cellStyle name="20% - Accent6 3 14 6" xfId="2716"/>
    <cellStyle name="20% - Accent6 3 14 7" xfId="2717"/>
    <cellStyle name="20% - Accent6 3 14 8" xfId="2718"/>
    <cellStyle name="20% - Accent6 3 15" xfId="2719"/>
    <cellStyle name="20% - Accent6 3 15 2" xfId="2720"/>
    <cellStyle name="20% - Accent6 3 15 3" xfId="2721"/>
    <cellStyle name="20% - Accent6 3 15 4" xfId="2722"/>
    <cellStyle name="20% - Accent6 3 15 5" xfId="2723"/>
    <cellStyle name="20% - Accent6 3 15 6" xfId="2724"/>
    <cellStyle name="20% - Accent6 3 15 7" xfId="2725"/>
    <cellStyle name="20% - Accent6 3 15 8" xfId="2726"/>
    <cellStyle name="20% - Accent6 3 16" xfId="2727"/>
    <cellStyle name="20% - Accent6 3 16 2" xfId="2728"/>
    <cellStyle name="20% - Accent6 3 16 3" xfId="2729"/>
    <cellStyle name="20% - Accent6 3 16 4" xfId="2730"/>
    <cellStyle name="20% - Accent6 3 16 5" xfId="2731"/>
    <cellStyle name="20% - Accent6 3 16 6" xfId="2732"/>
    <cellStyle name="20% - Accent6 3 16 7" xfId="2733"/>
    <cellStyle name="20% - Accent6 3 16 8" xfId="2734"/>
    <cellStyle name="20% - Accent6 3 17" xfId="2735"/>
    <cellStyle name="20% - Accent6 3 17 2" xfId="2736"/>
    <cellStyle name="20% - Accent6 3 17 3" xfId="2737"/>
    <cellStyle name="20% - Accent6 3 17 4" xfId="2738"/>
    <cellStyle name="20% - Accent6 3 17 5" xfId="2739"/>
    <cellStyle name="20% - Accent6 3 17 6" xfId="2740"/>
    <cellStyle name="20% - Accent6 3 17 7" xfId="2741"/>
    <cellStyle name="20% - Accent6 3 17 8" xfId="2742"/>
    <cellStyle name="20% - Accent6 3 18" xfId="2743"/>
    <cellStyle name="20% - Accent6 3 18 2" xfId="2744"/>
    <cellStyle name="20% - Accent6 3 18 3" xfId="2745"/>
    <cellStyle name="20% - Accent6 3 18 4" xfId="2746"/>
    <cellStyle name="20% - Accent6 3 18 5" xfId="2747"/>
    <cellStyle name="20% - Accent6 3 18 6" xfId="2748"/>
    <cellStyle name="20% - Accent6 3 18 7" xfId="2749"/>
    <cellStyle name="20% - Accent6 3 18 8" xfId="2750"/>
    <cellStyle name="20% - Accent6 3 19" xfId="2751"/>
    <cellStyle name="20% - Accent6 3 2" xfId="2752"/>
    <cellStyle name="20% - Accent6 3 2 2" xfId="2753"/>
    <cellStyle name="20% - Accent6 3 2 3" xfId="2754"/>
    <cellStyle name="20% - Accent6 3 2 4" xfId="2755"/>
    <cellStyle name="20% - Accent6 3 2 5" xfId="2756"/>
    <cellStyle name="20% - Accent6 3 2 6" xfId="2757"/>
    <cellStyle name="20% - Accent6 3 2 7" xfId="2758"/>
    <cellStyle name="20% - Accent6 3 2 8" xfId="2759"/>
    <cellStyle name="20% - Accent6 3 20" xfId="2760"/>
    <cellStyle name="20% - Accent6 3 21" xfId="2761"/>
    <cellStyle name="20% - Accent6 3 22" xfId="2762"/>
    <cellStyle name="20% - Accent6 3 23" xfId="2763"/>
    <cellStyle name="20% - Accent6 3 24" xfId="2764"/>
    <cellStyle name="20% - Accent6 3 25" xfId="2765"/>
    <cellStyle name="20% - Accent6 3 26" xfId="2766"/>
    <cellStyle name="20% - Accent6 3 27" xfId="2767"/>
    <cellStyle name="20% - Accent6 3 28" xfId="2768"/>
    <cellStyle name="20% - Accent6 3 29" xfId="2769"/>
    <cellStyle name="20% - Accent6 3 3" xfId="2770"/>
    <cellStyle name="20% - Accent6 3 3 2" xfId="2771"/>
    <cellStyle name="20% - Accent6 3 3 3" xfId="2772"/>
    <cellStyle name="20% - Accent6 3 3 4" xfId="2773"/>
    <cellStyle name="20% - Accent6 3 3 5" xfId="2774"/>
    <cellStyle name="20% - Accent6 3 3 6" xfId="2775"/>
    <cellStyle name="20% - Accent6 3 3 7" xfId="2776"/>
    <cellStyle name="20% - Accent6 3 3 8" xfId="2777"/>
    <cellStyle name="20% - Accent6 3 30" xfId="2778"/>
    <cellStyle name="20% - Accent6 3 31" xfId="2779"/>
    <cellStyle name="20% - Accent6 3 32" xfId="2780"/>
    <cellStyle name="20% - Accent6 3 33" xfId="2781"/>
    <cellStyle name="20% - Accent6 3 34" xfId="2782"/>
    <cellStyle name="20% - Accent6 3 35" xfId="2783"/>
    <cellStyle name="20% - Accent6 3 4" xfId="2784"/>
    <cellStyle name="20% - Accent6 3 4 2" xfId="2785"/>
    <cellStyle name="20% - Accent6 3 4 3" xfId="2786"/>
    <cellStyle name="20% - Accent6 3 4 4" xfId="2787"/>
    <cellStyle name="20% - Accent6 3 4 5" xfId="2788"/>
    <cellStyle name="20% - Accent6 3 4 6" xfId="2789"/>
    <cellStyle name="20% - Accent6 3 4 7" xfId="2790"/>
    <cellStyle name="20% - Accent6 3 4 8" xfId="2791"/>
    <cellStyle name="20% - Accent6 3 5" xfId="2792"/>
    <cellStyle name="20% - Accent6 3 5 2" xfId="2793"/>
    <cellStyle name="20% - Accent6 3 5 3" xfId="2794"/>
    <cellStyle name="20% - Accent6 3 5 4" xfId="2795"/>
    <cellStyle name="20% - Accent6 3 5 5" xfId="2796"/>
    <cellStyle name="20% - Accent6 3 5 6" xfId="2797"/>
    <cellStyle name="20% - Accent6 3 5 7" xfId="2798"/>
    <cellStyle name="20% - Accent6 3 5 8" xfId="2799"/>
    <cellStyle name="20% - Accent6 3 6" xfId="2800"/>
    <cellStyle name="20% - Accent6 3 6 2" xfId="2801"/>
    <cellStyle name="20% - Accent6 3 6 3" xfId="2802"/>
    <cellStyle name="20% - Accent6 3 6 4" xfId="2803"/>
    <cellStyle name="20% - Accent6 3 6 5" xfId="2804"/>
    <cellStyle name="20% - Accent6 3 6 6" xfId="2805"/>
    <cellStyle name="20% - Accent6 3 6 7" xfId="2806"/>
    <cellStyle name="20% - Accent6 3 6 8" xfId="2807"/>
    <cellStyle name="20% - Accent6 3 7" xfId="2808"/>
    <cellStyle name="20% - Accent6 3 7 2" xfId="2809"/>
    <cellStyle name="20% - Accent6 3 7 3" xfId="2810"/>
    <cellStyle name="20% - Accent6 3 7 4" xfId="2811"/>
    <cellStyle name="20% - Accent6 3 7 5" xfId="2812"/>
    <cellStyle name="20% - Accent6 3 7 6" xfId="2813"/>
    <cellStyle name="20% - Accent6 3 7 7" xfId="2814"/>
    <cellStyle name="20% - Accent6 3 7 8" xfId="2815"/>
    <cellStyle name="20% - Accent6 3 8" xfId="2816"/>
    <cellStyle name="20% - Accent6 3 8 2" xfId="2817"/>
    <cellStyle name="20% - Accent6 3 8 3" xfId="2818"/>
    <cellStyle name="20% - Accent6 3 8 4" xfId="2819"/>
    <cellStyle name="20% - Accent6 3 8 5" xfId="2820"/>
    <cellStyle name="20% - Accent6 3 8 6" xfId="2821"/>
    <cellStyle name="20% - Accent6 3 8 7" xfId="2822"/>
    <cellStyle name="20% - Accent6 3 8 8" xfId="2823"/>
    <cellStyle name="20% - Accent6 3 9" xfId="2824"/>
    <cellStyle name="20% - Accent6 3 9 2" xfId="2825"/>
    <cellStyle name="20% - Accent6 3 9 3" xfId="2826"/>
    <cellStyle name="20% - Accent6 3 9 4" xfId="2827"/>
    <cellStyle name="20% - Accent6 3 9 5" xfId="2828"/>
    <cellStyle name="20% - Accent6 3 9 6" xfId="2829"/>
    <cellStyle name="20% - Accent6 3 9 7" xfId="2830"/>
    <cellStyle name="20% - Accent6 3 9 8" xfId="2831"/>
    <cellStyle name="20% - Accent6 4" xfId="2832"/>
    <cellStyle name="20% - Accent6 4 10" xfId="2833"/>
    <cellStyle name="20% - Accent6 4 10 2" xfId="2834"/>
    <cellStyle name="20% - Accent6 4 10 3" xfId="2835"/>
    <cellStyle name="20% - Accent6 4 10 4" xfId="2836"/>
    <cellStyle name="20% - Accent6 4 10 5" xfId="2837"/>
    <cellStyle name="20% - Accent6 4 10 6" xfId="2838"/>
    <cellStyle name="20% - Accent6 4 10 7" xfId="2839"/>
    <cellStyle name="20% - Accent6 4 10 8" xfId="2840"/>
    <cellStyle name="20% - Accent6 4 11" xfId="2841"/>
    <cellStyle name="20% - Accent6 4 11 2" xfId="2842"/>
    <cellStyle name="20% - Accent6 4 11 3" xfId="2843"/>
    <cellStyle name="20% - Accent6 4 11 4" xfId="2844"/>
    <cellStyle name="20% - Accent6 4 11 5" xfId="2845"/>
    <cellStyle name="20% - Accent6 4 11 6" xfId="2846"/>
    <cellStyle name="20% - Accent6 4 11 7" xfId="2847"/>
    <cellStyle name="20% - Accent6 4 11 8" xfId="2848"/>
    <cellStyle name="20% - Accent6 4 12" xfId="2849"/>
    <cellStyle name="20% - Accent6 4 12 2" xfId="2850"/>
    <cellStyle name="20% - Accent6 4 12 3" xfId="2851"/>
    <cellStyle name="20% - Accent6 4 12 4" xfId="2852"/>
    <cellStyle name="20% - Accent6 4 12 5" xfId="2853"/>
    <cellStyle name="20% - Accent6 4 12 6" xfId="2854"/>
    <cellStyle name="20% - Accent6 4 12 7" xfId="2855"/>
    <cellStyle name="20% - Accent6 4 12 8" xfId="2856"/>
    <cellStyle name="20% - Accent6 4 13" xfId="2857"/>
    <cellStyle name="20% - Accent6 4 13 2" xfId="2858"/>
    <cellStyle name="20% - Accent6 4 13 3" xfId="2859"/>
    <cellStyle name="20% - Accent6 4 13 4" xfId="2860"/>
    <cellStyle name="20% - Accent6 4 13 5" xfId="2861"/>
    <cellStyle name="20% - Accent6 4 13 6" xfId="2862"/>
    <cellStyle name="20% - Accent6 4 13 7" xfId="2863"/>
    <cellStyle name="20% - Accent6 4 13 8" xfId="2864"/>
    <cellStyle name="20% - Accent6 4 14" xfId="2865"/>
    <cellStyle name="20% - Accent6 4 14 2" xfId="2866"/>
    <cellStyle name="20% - Accent6 4 14 3" xfId="2867"/>
    <cellStyle name="20% - Accent6 4 14 4" xfId="2868"/>
    <cellStyle name="20% - Accent6 4 14 5" xfId="2869"/>
    <cellStyle name="20% - Accent6 4 14 6" xfId="2870"/>
    <cellStyle name="20% - Accent6 4 14 7" xfId="2871"/>
    <cellStyle name="20% - Accent6 4 14 8" xfId="2872"/>
    <cellStyle name="20% - Accent6 4 15" xfId="2873"/>
    <cellStyle name="20% - Accent6 4 15 2" xfId="2874"/>
    <cellStyle name="20% - Accent6 4 15 3" xfId="2875"/>
    <cellStyle name="20% - Accent6 4 15 4" xfId="2876"/>
    <cellStyle name="20% - Accent6 4 15 5" xfId="2877"/>
    <cellStyle name="20% - Accent6 4 15 6" xfId="2878"/>
    <cellStyle name="20% - Accent6 4 15 7" xfId="2879"/>
    <cellStyle name="20% - Accent6 4 15 8" xfId="2880"/>
    <cellStyle name="20% - Accent6 4 16" xfId="2881"/>
    <cellStyle name="20% - Accent6 4 16 2" xfId="2882"/>
    <cellStyle name="20% - Accent6 4 16 3" xfId="2883"/>
    <cellStyle name="20% - Accent6 4 16 4" xfId="2884"/>
    <cellStyle name="20% - Accent6 4 16 5" xfId="2885"/>
    <cellStyle name="20% - Accent6 4 16 6" xfId="2886"/>
    <cellStyle name="20% - Accent6 4 16 7" xfId="2887"/>
    <cellStyle name="20% - Accent6 4 16 8" xfId="2888"/>
    <cellStyle name="20% - Accent6 4 17" xfId="2889"/>
    <cellStyle name="20% - Accent6 4 17 2" xfId="2890"/>
    <cellStyle name="20% - Accent6 4 17 3" xfId="2891"/>
    <cellStyle name="20% - Accent6 4 17 4" xfId="2892"/>
    <cellStyle name="20% - Accent6 4 17 5" xfId="2893"/>
    <cellStyle name="20% - Accent6 4 17 6" xfId="2894"/>
    <cellStyle name="20% - Accent6 4 17 7" xfId="2895"/>
    <cellStyle name="20% - Accent6 4 17 8" xfId="2896"/>
    <cellStyle name="20% - Accent6 4 18" xfId="2897"/>
    <cellStyle name="20% - Accent6 4 18 2" xfId="2898"/>
    <cellStyle name="20% - Accent6 4 18 3" xfId="2899"/>
    <cellStyle name="20% - Accent6 4 18 4" xfId="2900"/>
    <cellStyle name="20% - Accent6 4 18 5" xfId="2901"/>
    <cellStyle name="20% - Accent6 4 18 6" xfId="2902"/>
    <cellStyle name="20% - Accent6 4 18 7" xfId="2903"/>
    <cellStyle name="20% - Accent6 4 18 8" xfId="2904"/>
    <cellStyle name="20% - Accent6 4 19" xfId="2905"/>
    <cellStyle name="20% - Accent6 4 2" xfId="2906"/>
    <cellStyle name="20% - Accent6 4 2 2" xfId="2907"/>
    <cellStyle name="20% - Accent6 4 2 3" xfId="2908"/>
    <cellStyle name="20% - Accent6 4 2 4" xfId="2909"/>
    <cellStyle name="20% - Accent6 4 2 5" xfId="2910"/>
    <cellStyle name="20% - Accent6 4 2 6" xfId="2911"/>
    <cellStyle name="20% - Accent6 4 2 7" xfId="2912"/>
    <cellStyle name="20% - Accent6 4 2 8" xfId="2913"/>
    <cellStyle name="20% - Accent6 4 20" xfId="2914"/>
    <cellStyle name="20% - Accent6 4 21" xfId="2915"/>
    <cellStyle name="20% - Accent6 4 22" xfId="2916"/>
    <cellStyle name="20% - Accent6 4 23" xfId="2917"/>
    <cellStyle name="20% - Accent6 4 24" xfId="2918"/>
    <cellStyle name="20% - Accent6 4 25" xfId="2919"/>
    <cellStyle name="20% - Accent6 4 26" xfId="2920"/>
    <cellStyle name="20% - Accent6 4 27" xfId="2921"/>
    <cellStyle name="20% - Accent6 4 28" xfId="2922"/>
    <cellStyle name="20% - Accent6 4 29" xfId="2923"/>
    <cellStyle name="20% - Accent6 4 3" xfId="2924"/>
    <cellStyle name="20% - Accent6 4 3 2" xfId="2925"/>
    <cellStyle name="20% - Accent6 4 3 3" xfId="2926"/>
    <cellStyle name="20% - Accent6 4 3 4" xfId="2927"/>
    <cellStyle name="20% - Accent6 4 3 5" xfId="2928"/>
    <cellStyle name="20% - Accent6 4 3 6" xfId="2929"/>
    <cellStyle name="20% - Accent6 4 3 7" xfId="2930"/>
    <cellStyle name="20% - Accent6 4 3 8" xfId="2931"/>
    <cellStyle name="20% - Accent6 4 30" xfId="2932"/>
    <cellStyle name="20% - Accent6 4 31" xfId="2933"/>
    <cellStyle name="20% - Accent6 4 32" xfId="2934"/>
    <cellStyle name="20% - Accent6 4 33" xfId="2935"/>
    <cellStyle name="20% - Accent6 4 34" xfId="2936"/>
    <cellStyle name="20% - Accent6 4 35" xfId="2937"/>
    <cellStyle name="20% - Accent6 4 4" xfId="2938"/>
    <cellStyle name="20% - Accent6 4 4 2" xfId="2939"/>
    <cellStyle name="20% - Accent6 4 4 3" xfId="2940"/>
    <cellStyle name="20% - Accent6 4 4 4" xfId="2941"/>
    <cellStyle name="20% - Accent6 4 4 5" xfId="2942"/>
    <cellStyle name="20% - Accent6 4 4 6" xfId="2943"/>
    <cellStyle name="20% - Accent6 4 4 7" xfId="2944"/>
    <cellStyle name="20% - Accent6 4 4 8" xfId="2945"/>
    <cellStyle name="20% - Accent6 4 5" xfId="2946"/>
    <cellStyle name="20% - Accent6 4 5 2" xfId="2947"/>
    <cellStyle name="20% - Accent6 4 5 3" xfId="2948"/>
    <cellStyle name="20% - Accent6 4 5 4" xfId="2949"/>
    <cellStyle name="20% - Accent6 4 5 5" xfId="2950"/>
    <cellStyle name="20% - Accent6 4 5 6" xfId="2951"/>
    <cellStyle name="20% - Accent6 4 5 7" xfId="2952"/>
    <cellStyle name="20% - Accent6 4 5 8" xfId="2953"/>
    <cellStyle name="20% - Accent6 4 6" xfId="2954"/>
    <cellStyle name="20% - Accent6 4 6 2" xfId="2955"/>
    <cellStyle name="20% - Accent6 4 6 3" xfId="2956"/>
    <cellStyle name="20% - Accent6 4 6 4" xfId="2957"/>
    <cellStyle name="20% - Accent6 4 6 5" xfId="2958"/>
    <cellStyle name="20% - Accent6 4 6 6" xfId="2959"/>
    <cellStyle name="20% - Accent6 4 6 7" xfId="2960"/>
    <cellStyle name="20% - Accent6 4 6 8" xfId="2961"/>
    <cellStyle name="20% - Accent6 4 7" xfId="2962"/>
    <cellStyle name="20% - Accent6 4 7 2" xfId="2963"/>
    <cellStyle name="20% - Accent6 4 7 3" xfId="2964"/>
    <cellStyle name="20% - Accent6 4 7 4" xfId="2965"/>
    <cellStyle name="20% - Accent6 4 7 5" xfId="2966"/>
    <cellStyle name="20% - Accent6 4 7 6" xfId="2967"/>
    <cellStyle name="20% - Accent6 4 7 7" xfId="2968"/>
    <cellStyle name="20% - Accent6 4 7 8" xfId="2969"/>
    <cellStyle name="20% - Accent6 4 8" xfId="2970"/>
    <cellStyle name="20% - Accent6 4 8 2" xfId="2971"/>
    <cellStyle name="20% - Accent6 4 8 3" xfId="2972"/>
    <cellStyle name="20% - Accent6 4 8 4" xfId="2973"/>
    <cellStyle name="20% - Accent6 4 8 5" xfId="2974"/>
    <cellStyle name="20% - Accent6 4 8 6" xfId="2975"/>
    <cellStyle name="20% - Accent6 4 8 7" xfId="2976"/>
    <cellStyle name="20% - Accent6 4 8 8" xfId="2977"/>
    <cellStyle name="20% - Accent6 4 9" xfId="2978"/>
    <cellStyle name="20% - Accent6 4 9 2" xfId="2979"/>
    <cellStyle name="20% - Accent6 4 9 3" xfId="2980"/>
    <cellStyle name="20% - Accent6 4 9 4" xfId="2981"/>
    <cellStyle name="20% - Accent6 4 9 5" xfId="2982"/>
    <cellStyle name="20% - Accent6 4 9 6" xfId="2983"/>
    <cellStyle name="20% - Accent6 4 9 7" xfId="2984"/>
    <cellStyle name="20% - Accent6 4 9 8" xfId="2985"/>
    <cellStyle name="20% - Accent6 5" xfId="2986"/>
    <cellStyle name="20% - Accent6 5 10" xfId="2987"/>
    <cellStyle name="20% - Accent6 5 10 2" xfId="2988"/>
    <cellStyle name="20% - Accent6 5 10 3" xfId="2989"/>
    <cellStyle name="20% - Accent6 5 10 4" xfId="2990"/>
    <cellStyle name="20% - Accent6 5 10 5" xfId="2991"/>
    <cellStyle name="20% - Accent6 5 10 6" xfId="2992"/>
    <cellStyle name="20% - Accent6 5 10 7" xfId="2993"/>
    <cellStyle name="20% - Accent6 5 10 8" xfId="2994"/>
    <cellStyle name="20% - Accent6 5 11" xfId="2995"/>
    <cellStyle name="20% - Accent6 5 11 2" xfId="2996"/>
    <cellStyle name="20% - Accent6 5 11 3" xfId="2997"/>
    <cellStyle name="20% - Accent6 5 11 4" xfId="2998"/>
    <cellStyle name="20% - Accent6 5 11 5" xfId="2999"/>
    <cellStyle name="20% - Accent6 5 11 6" xfId="3000"/>
    <cellStyle name="20% - Accent6 5 11 7" xfId="3001"/>
    <cellStyle name="20% - Accent6 5 11 8" xfId="3002"/>
    <cellStyle name="20% - Accent6 5 12" xfId="3003"/>
    <cellStyle name="20% - Accent6 5 12 2" xfId="3004"/>
    <cellStyle name="20% - Accent6 5 12 3" xfId="3005"/>
    <cellStyle name="20% - Accent6 5 12 4" xfId="3006"/>
    <cellStyle name="20% - Accent6 5 12 5" xfId="3007"/>
    <cellStyle name="20% - Accent6 5 12 6" xfId="3008"/>
    <cellStyle name="20% - Accent6 5 12 7" xfId="3009"/>
    <cellStyle name="20% - Accent6 5 12 8" xfId="3010"/>
    <cellStyle name="20% - Accent6 5 13" xfId="3011"/>
    <cellStyle name="20% - Accent6 5 13 2" xfId="3012"/>
    <cellStyle name="20% - Accent6 5 13 3" xfId="3013"/>
    <cellStyle name="20% - Accent6 5 13 4" xfId="3014"/>
    <cellStyle name="20% - Accent6 5 13 5" xfId="3015"/>
    <cellStyle name="20% - Accent6 5 13 6" xfId="3016"/>
    <cellStyle name="20% - Accent6 5 13 7" xfId="3017"/>
    <cellStyle name="20% - Accent6 5 13 8" xfId="3018"/>
    <cellStyle name="20% - Accent6 5 14" xfId="3019"/>
    <cellStyle name="20% - Accent6 5 14 2" xfId="3020"/>
    <cellStyle name="20% - Accent6 5 14 3" xfId="3021"/>
    <cellStyle name="20% - Accent6 5 14 4" xfId="3022"/>
    <cellStyle name="20% - Accent6 5 14 5" xfId="3023"/>
    <cellStyle name="20% - Accent6 5 14 6" xfId="3024"/>
    <cellStyle name="20% - Accent6 5 14 7" xfId="3025"/>
    <cellStyle name="20% - Accent6 5 14 8" xfId="3026"/>
    <cellStyle name="20% - Accent6 5 15" xfId="3027"/>
    <cellStyle name="20% - Accent6 5 15 2" xfId="3028"/>
    <cellStyle name="20% - Accent6 5 15 3" xfId="3029"/>
    <cellStyle name="20% - Accent6 5 15 4" xfId="3030"/>
    <cellStyle name="20% - Accent6 5 15 5" xfId="3031"/>
    <cellStyle name="20% - Accent6 5 15 6" xfId="3032"/>
    <cellStyle name="20% - Accent6 5 15 7" xfId="3033"/>
    <cellStyle name="20% - Accent6 5 15 8" xfId="3034"/>
    <cellStyle name="20% - Accent6 5 16" xfId="3035"/>
    <cellStyle name="20% - Accent6 5 16 2" xfId="3036"/>
    <cellStyle name="20% - Accent6 5 16 3" xfId="3037"/>
    <cellStyle name="20% - Accent6 5 16 4" xfId="3038"/>
    <cellStyle name="20% - Accent6 5 16 5" xfId="3039"/>
    <cellStyle name="20% - Accent6 5 16 6" xfId="3040"/>
    <cellStyle name="20% - Accent6 5 16 7" xfId="3041"/>
    <cellStyle name="20% - Accent6 5 16 8" xfId="3042"/>
    <cellStyle name="20% - Accent6 5 17" xfId="3043"/>
    <cellStyle name="20% - Accent6 5 17 2" xfId="3044"/>
    <cellStyle name="20% - Accent6 5 17 3" xfId="3045"/>
    <cellStyle name="20% - Accent6 5 17 4" xfId="3046"/>
    <cellStyle name="20% - Accent6 5 17 5" xfId="3047"/>
    <cellStyle name="20% - Accent6 5 17 6" xfId="3048"/>
    <cellStyle name="20% - Accent6 5 17 7" xfId="3049"/>
    <cellStyle name="20% - Accent6 5 17 8" xfId="3050"/>
    <cellStyle name="20% - Accent6 5 18" xfId="3051"/>
    <cellStyle name="20% - Accent6 5 18 2" xfId="3052"/>
    <cellStyle name="20% - Accent6 5 18 3" xfId="3053"/>
    <cellStyle name="20% - Accent6 5 18 4" xfId="3054"/>
    <cellStyle name="20% - Accent6 5 18 5" xfId="3055"/>
    <cellStyle name="20% - Accent6 5 18 6" xfId="3056"/>
    <cellStyle name="20% - Accent6 5 18 7" xfId="3057"/>
    <cellStyle name="20% - Accent6 5 18 8" xfId="3058"/>
    <cellStyle name="20% - Accent6 5 19" xfId="3059"/>
    <cellStyle name="20% - Accent6 5 2" xfId="3060"/>
    <cellStyle name="20% - Accent6 5 2 2" xfId="3061"/>
    <cellStyle name="20% - Accent6 5 2 3" xfId="3062"/>
    <cellStyle name="20% - Accent6 5 2 4" xfId="3063"/>
    <cellStyle name="20% - Accent6 5 2 5" xfId="3064"/>
    <cellStyle name="20% - Accent6 5 2 6" xfId="3065"/>
    <cellStyle name="20% - Accent6 5 2 7" xfId="3066"/>
    <cellStyle name="20% - Accent6 5 2 8" xfId="3067"/>
    <cellStyle name="20% - Accent6 5 20" xfId="3068"/>
    <cellStyle name="20% - Accent6 5 21" xfId="3069"/>
    <cellStyle name="20% - Accent6 5 22" xfId="3070"/>
    <cellStyle name="20% - Accent6 5 23" xfId="3071"/>
    <cellStyle name="20% - Accent6 5 24" xfId="3072"/>
    <cellStyle name="20% - Accent6 5 25" xfId="3073"/>
    <cellStyle name="20% - Accent6 5 26" xfId="3074"/>
    <cellStyle name="20% - Accent6 5 27" xfId="3075"/>
    <cellStyle name="20% - Accent6 5 28" xfId="3076"/>
    <cellStyle name="20% - Accent6 5 29" xfId="3077"/>
    <cellStyle name="20% - Accent6 5 3" xfId="3078"/>
    <cellStyle name="20% - Accent6 5 3 2" xfId="3079"/>
    <cellStyle name="20% - Accent6 5 3 3" xfId="3080"/>
    <cellStyle name="20% - Accent6 5 3 4" xfId="3081"/>
    <cellStyle name="20% - Accent6 5 3 5" xfId="3082"/>
    <cellStyle name="20% - Accent6 5 3 6" xfId="3083"/>
    <cellStyle name="20% - Accent6 5 3 7" xfId="3084"/>
    <cellStyle name="20% - Accent6 5 3 8" xfId="3085"/>
    <cellStyle name="20% - Accent6 5 30" xfId="3086"/>
    <cellStyle name="20% - Accent6 5 31" xfId="3087"/>
    <cellStyle name="20% - Accent6 5 32" xfId="3088"/>
    <cellStyle name="20% - Accent6 5 33" xfId="3089"/>
    <cellStyle name="20% - Accent6 5 34" xfId="3090"/>
    <cellStyle name="20% - Accent6 5 35" xfId="3091"/>
    <cellStyle name="20% - Accent6 5 4" xfId="3092"/>
    <cellStyle name="20% - Accent6 5 4 2" xfId="3093"/>
    <cellStyle name="20% - Accent6 5 4 3" xfId="3094"/>
    <cellStyle name="20% - Accent6 5 4 4" xfId="3095"/>
    <cellStyle name="20% - Accent6 5 4 5" xfId="3096"/>
    <cellStyle name="20% - Accent6 5 4 6" xfId="3097"/>
    <cellStyle name="20% - Accent6 5 4 7" xfId="3098"/>
    <cellStyle name="20% - Accent6 5 4 8" xfId="3099"/>
    <cellStyle name="20% - Accent6 5 5" xfId="3100"/>
    <cellStyle name="20% - Accent6 5 5 2" xfId="3101"/>
    <cellStyle name="20% - Accent6 5 5 3" xfId="3102"/>
    <cellStyle name="20% - Accent6 5 5 4" xfId="3103"/>
    <cellStyle name="20% - Accent6 5 5 5" xfId="3104"/>
    <cellStyle name="20% - Accent6 5 5 6" xfId="3105"/>
    <cellStyle name="20% - Accent6 5 5 7" xfId="3106"/>
    <cellStyle name="20% - Accent6 5 5 8" xfId="3107"/>
    <cellStyle name="20% - Accent6 5 6" xfId="3108"/>
    <cellStyle name="20% - Accent6 5 6 2" xfId="3109"/>
    <cellStyle name="20% - Accent6 5 6 3" xfId="3110"/>
    <cellStyle name="20% - Accent6 5 6 4" xfId="3111"/>
    <cellStyle name="20% - Accent6 5 6 5" xfId="3112"/>
    <cellStyle name="20% - Accent6 5 6 6" xfId="3113"/>
    <cellStyle name="20% - Accent6 5 6 7" xfId="3114"/>
    <cellStyle name="20% - Accent6 5 6 8" xfId="3115"/>
    <cellStyle name="20% - Accent6 5 7" xfId="3116"/>
    <cellStyle name="20% - Accent6 5 7 2" xfId="3117"/>
    <cellStyle name="20% - Accent6 5 7 3" xfId="3118"/>
    <cellStyle name="20% - Accent6 5 7 4" xfId="3119"/>
    <cellStyle name="20% - Accent6 5 7 5" xfId="3120"/>
    <cellStyle name="20% - Accent6 5 7 6" xfId="3121"/>
    <cellStyle name="20% - Accent6 5 7 7" xfId="3122"/>
    <cellStyle name="20% - Accent6 5 7 8" xfId="3123"/>
    <cellStyle name="20% - Accent6 5 8" xfId="3124"/>
    <cellStyle name="20% - Accent6 5 8 2" xfId="3125"/>
    <cellStyle name="20% - Accent6 5 8 3" xfId="3126"/>
    <cellStyle name="20% - Accent6 5 8 4" xfId="3127"/>
    <cellStyle name="20% - Accent6 5 8 5" xfId="3128"/>
    <cellStyle name="20% - Accent6 5 8 6" xfId="3129"/>
    <cellStyle name="20% - Accent6 5 8 7" xfId="3130"/>
    <cellStyle name="20% - Accent6 5 8 8" xfId="3131"/>
    <cellStyle name="20% - Accent6 5 9" xfId="3132"/>
    <cellStyle name="20% - Accent6 5 9 2" xfId="3133"/>
    <cellStyle name="20% - Accent6 5 9 3" xfId="3134"/>
    <cellStyle name="20% - Accent6 5 9 4" xfId="3135"/>
    <cellStyle name="20% - Accent6 5 9 5" xfId="3136"/>
    <cellStyle name="20% - Accent6 5 9 6" xfId="3137"/>
    <cellStyle name="20% - Accent6 5 9 7" xfId="3138"/>
    <cellStyle name="20% - Accent6 5 9 8" xfId="3139"/>
    <cellStyle name="20% - Accent6 6" xfId="3140"/>
    <cellStyle name="40% - Accent1 2" xfId="3141"/>
    <cellStyle name="40% - Accent1 2 10" xfId="3142"/>
    <cellStyle name="40% - Accent1 2 10 2" xfId="3143"/>
    <cellStyle name="40% - Accent1 2 10 3" xfId="3144"/>
    <cellStyle name="40% - Accent1 2 10 4" xfId="3145"/>
    <cellStyle name="40% - Accent1 2 10 5" xfId="3146"/>
    <cellStyle name="40% - Accent1 2 10 6" xfId="3147"/>
    <cellStyle name="40% - Accent1 2 10 7" xfId="3148"/>
    <cellStyle name="40% - Accent1 2 10 8" xfId="3149"/>
    <cellStyle name="40% - Accent1 2 11" xfId="3150"/>
    <cellStyle name="40% - Accent1 2 11 2" xfId="3151"/>
    <cellStyle name="40% - Accent1 2 11 3" xfId="3152"/>
    <cellStyle name="40% - Accent1 2 11 4" xfId="3153"/>
    <cellStyle name="40% - Accent1 2 11 5" xfId="3154"/>
    <cellStyle name="40% - Accent1 2 11 6" xfId="3155"/>
    <cellStyle name="40% - Accent1 2 11 7" xfId="3156"/>
    <cellStyle name="40% - Accent1 2 11 8" xfId="3157"/>
    <cellStyle name="40% - Accent1 2 12" xfId="3158"/>
    <cellStyle name="40% - Accent1 2 12 2" xfId="3159"/>
    <cellStyle name="40% - Accent1 2 12 3" xfId="3160"/>
    <cellStyle name="40% - Accent1 2 12 4" xfId="3161"/>
    <cellStyle name="40% - Accent1 2 12 5" xfId="3162"/>
    <cellStyle name="40% - Accent1 2 12 6" xfId="3163"/>
    <cellStyle name="40% - Accent1 2 12 7" xfId="3164"/>
    <cellStyle name="40% - Accent1 2 12 8" xfId="3165"/>
    <cellStyle name="40% - Accent1 2 13" xfId="3166"/>
    <cellStyle name="40% - Accent1 2 13 2" xfId="3167"/>
    <cellStyle name="40% - Accent1 2 13 3" xfId="3168"/>
    <cellStyle name="40% - Accent1 2 13 4" xfId="3169"/>
    <cellStyle name="40% - Accent1 2 13 5" xfId="3170"/>
    <cellStyle name="40% - Accent1 2 13 6" xfId="3171"/>
    <cellStyle name="40% - Accent1 2 13 7" xfId="3172"/>
    <cellStyle name="40% - Accent1 2 13 8" xfId="3173"/>
    <cellStyle name="40% - Accent1 2 14" xfId="3174"/>
    <cellStyle name="40% - Accent1 2 14 2" xfId="3175"/>
    <cellStyle name="40% - Accent1 2 14 3" xfId="3176"/>
    <cellStyle name="40% - Accent1 2 14 4" xfId="3177"/>
    <cellStyle name="40% - Accent1 2 14 5" xfId="3178"/>
    <cellStyle name="40% - Accent1 2 14 6" xfId="3179"/>
    <cellStyle name="40% - Accent1 2 14 7" xfId="3180"/>
    <cellStyle name="40% - Accent1 2 14 8" xfId="3181"/>
    <cellStyle name="40% - Accent1 2 15" xfId="3182"/>
    <cellStyle name="40% - Accent1 2 15 2" xfId="3183"/>
    <cellStyle name="40% - Accent1 2 15 3" xfId="3184"/>
    <cellStyle name="40% - Accent1 2 15 4" xfId="3185"/>
    <cellStyle name="40% - Accent1 2 15 5" xfId="3186"/>
    <cellStyle name="40% - Accent1 2 15 6" xfId="3187"/>
    <cellStyle name="40% - Accent1 2 15 7" xfId="3188"/>
    <cellStyle name="40% - Accent1 2 15 8" xfId="3189"/>
    <cellStyle name="40% - Accent1 2 16" xfId="3190"/>
    <cellStyle name="40% - Accent1 2 16 2" xfId="3191"/>
    <cellStyle name="40% - Accent1 2 16 3" xfId="3192"/>
    <cellStyle name="40% - Accent1 2 16 4" xfId="3193"/>
    <cellStyle name="40% - Accent1 2 16 5" xfId="3194"/>
    <cellStyle name="40% - Accent1 2 16 6" xfId="3195"/>
    <cellStyle name="40% - Accent1 2 16 7" xfId="3196"/>
    <cellStyle name="40% - Accent1 2 16 8" xfId="3197"/>
    <cellStyle name="40% - Accent1 2 17" xfId="3198"/>
    <cellStyle name="40% - Accent1 2 17 2" xfId="3199"/>
    <cellStyle name="40% - Accent1 2 17 3" xfId="3200"/>
    <cellStyle name="40% - Accent1 2 17 4" xfId="3201"/>
    <cellStyle name="40% - Accent1 2 17 5" xfId="3202"/>
    <cellStyle name="40% - Accent1 2 17 6" xfId="3203"/>
    <cellStyle name="40% - Accent1 2 17 7" xfId="3204"/>
    <cellStyle name="40% - Accent1 2 17 8" xfId="3205"/>
    <cellStyle name="40% - Accent1 2 18" xfId="3206"/>
    <cellStyle name="40% - Accent1 2 18 2" xfId="3207"/>
    <cellStyle name="40% - Accent1 2 18 3" xfId="3208"/>
    <cellStyle name="40% - Accent1 2 18 4" xfId="3209"/>
    <cellStyle name="40% - Accent1 2 18 5" xfId="3210"/>
    <cellStyle name="40% - Accent1 2 18 6" xfId="3211"/>
    <cellStyle name="40% - Accent1 2 18 7" xfId="3212"/>
    <cellStyle name="40% - Accent1 2 18 8" xfId="3213"/>
    <cellStyle name="40% - Accent1 2 19" xfId="3214"/>
    <cellStyle name="40% - Accent1 2 2" xfId="3215"/>
    <cellStyle name="40% - Accent1 2 2 2" xfId="3216"/>
    <cellStyle name="40% - Accent1 2 2 3" xfId="3217"/>
    <cellStyle name="40% - Accent1 2 2 4" xfId="3218"/>
    <cellStyle name="40% - Accent1 2 2 5" xfId="3219"/>
    <cellStyle name="40% - Accent1 2 2 6" xfId="3220"/>
    <cellStyle name="40% - Accent1 2 2 7" xfId="3221"/>
    <cellStyle name="40% - Accent1 2 2 8" xfId="3222"/>
    <cellStyle name="40% - Accent1 2 20" xfId="3223"/>
    <cellStyle name="40% - Accent1 2 21" xfId="3224"/>
    <cellStyle name="40% - Accent1 2 22" xfId="3225"/>
    <cellStyle name="40% - Accent1 2 23" xfId="3226"/>
    <cellStyle name="40% - Accent1 2 24" xfId="3227"/>
    <cellStyle name="40% - Accent1 2 25" xfId="3228"/>
    <cellStyle name="40% - Accent1 2 26" xfId="3229"/>
    <cellStyle name="40% - Accent1 2 27" xfId="3230"/>
    <cellStyle name="40% - Accent1 2 28" xfId="3231"/>
    <cellStyle name="40% - Accent1 2 29" xfId="3232"/>
    <cellStyle name="40% - Accent1 2 3" xfId="3233"/>
    <cellStyle name="40% - Accent1 2 3 2" xfId="3234"/>
    <cellStyle name="40% - Accent1 2 3 3" xfId="3235"/>
    <cellStyle name="40% - Accent1 2 3 4" xfId="3236"/>
    <cellStyle name="40% - Accent1 2 3 5" xfId="3237"/>
    <cellStyle name="40% - Accent1 2 3 6" xfId="3238"/>
    <cellStyle name="40% - Accent1 2 3 7" xfId="3239"/>
    <cellStyle name="40% - Accent1 2 3 8" xfId="3240"/>
    <cellStyle name="40% - Accent1 2 30" xfId="3241"/>
    <cellStyle name="40% - Accent1 2 31" xfId="3242"/>
    <cellStyle name="40% - Accent1 2 32" xfId="3243"/>
    <cellStyle name="40% - Accent1 2 33" xfId="3244"/>
    <cellStyle name="40% - Accent1 2 34" xfId="3245"/>
    <cellStyle name="40% - Accent1 2 35" xfId="3246"/>
    <cellStyle name="40% - Accent1 2 36" xfId="3247"/>
    <cellStyle name="40% - Accent1 2 37" xfId="3248"/>
    <cellStyle name="40% - Accent1 2 38" xfId="3249"/>
    <cellStyle name="40% - Accent1 2 4" xfId="3250"/>
    <cellStyle name="40% - Accent1 2 4 2" xfId="3251"/>
    <cellStyle name="40% - Accent1 2 4 3" xfId="3252"/>
    <cellStyle name="40% - Accent1 2 4 4" xfId="3253"/>
    <cellStyle name="40% - Accent1 2 4 5" xfId="3254"/>
    <cellStyle name="40% - Accent1 2 4 6" xfId="3255"/>
    <cellStyle name="40% - Accent1 2 4 7" xfId="3256"/>
    <cellStyle name="40% - Accent1 2 4 8" xfId="3257"/>
    <cellStyle name="40% - Accent1 2 5" xfId="3258"/>
    <cellStyle name="40% - Accent1 2 5 2" xfId="3259"/>
    <cellStyle name="40% - Accent1 2 5 3" xfId="3260"/>
    <cellStyle name="40% - Accent1 2 5 4" xfId="3261"/>
    <cellStyle name="40% - Accent1 2 5 5" xfId="3262"/>
    <cellStyle name="40% - Accent1 2 5 6" xfId="3263"/>
    <cellStyle name="40% - Accent1 2 5 7" xfId="3264"/>
    <cellStyle name="40% - Accent1 2 5 8" xfId="3265"/>
    <cellStyle name="40% - Accent1 2 6" xfId="3266"/>
    <cellStyle name="40% - Accent1 2 6 2" xfId="3267"/>
    <cellStyle name="40% - Accent1 2 6 3" xfId="3268"/>
    <cellStyle name="40% - Accent1 2 6 4" xfId="3269"/>
    <cellStyle name="40% - Accent1 2 6 5" xfId="3270"/>
    <cellStyle name="40% - Accent1 2 6 6" xfId="3271"/>
    <cellStyle name="40% - Accent1 2 6 7" xfId="3272"/>
    <cellStyle name="40% - Accent1 2 6 8" xfId="3273"/>
    <cellStyle name="40% - Accent1 2 7" xfId="3274"/>
    <cellStyle name="40% - Accent1 2 7 2" xfId="3275"/>
    <cellStyle name="40% - Accent1 2 7 3" xfId="3276"/>
    <cellStyle name="40% - Accent1 2 7 4" xfId="3277"/>
    <cellStyle name="40% - Accent1 2 7 5" xfId="3278"/>
    <cellStyle name="40% - Accent1 2 7 6" xfId="3279"/>
    <cellStyle name="40% - Accent1 2 7 7" xfId="3280"/>
    <cellStyle name="40% - Accent1 2 7 8" xfId="3281"/>
    <cellStyle name="40% - Accent1 2 8" xfId="3282"/>
    <cellStyle name="40% - Accent1 2 8 2" xfId="3283"/>
    <cellStyle name="40% - Accent1 2 8 3" xfId="3284"/>
    <cellStyle name="40% - Accent1 2 8 4" xfId="3285"/>
    <cellStyle name="40% - Accent1 2 8 5" xfId="3286"/>
    <cellStyle name="40% - Accent1 2 8 6" xfId="3287"/>
    <cellStyle name="40% - Accent1 2 8 7" xfId="3288"/>
    <cellStyle name="40% - Accent1 2 8 8" xfId="3289"/>
    <cellStyle name="40% - Accent1 2 9" xfId="3290"/>
    <cellStyle name="40% - Accent1 2 9 2" xfId="3291"/>
    <cellStyle name="40% - Accent1 2 9 3" xfId="3292"/>
    <cellStyle name="40% - Accent1 2 9 4" xfId="3293"/>
    <cellStyle name="40% - Accent1 2 9 5" xfId="3294"/>
    <cellStyle name="40% - Accent1 2 9 6" xfId="3295"/>
    <cellStyle name="40% - Accent1 2 9 7" xfId="3296"/>
    <cellStyle name="40% - Accent1 2 9 8" xfId="3297"/>
    <cellStyle name="40% - Accent1 3" xfId="3298"/>
    <cellStyle name="40% - Accent1 3 10" xfId="3299"/>
    <cellStyle name="40% - Accent1 3 10 2" xfId="3300"/>
    <cellStyle name="40% - Accent1 3 10 3" xfId="3301"/>
    <cellStyle name="40% - Accent1 3 10 4" xfId="3302"/>
    <cellStyle name="40% - Accent1 3 10 5" xfId="3303"/>
    <cellStyle name="40% - Accent1 3 10 6" xfId="3304"/>
    <cellStyle name="40% - Accent1 3 10 7" xfId="3305"/>
    <cellStyle name="40% - Accent1 3 10 8" xfId="3306"/>
    <cellStyle name="40% - Accent1 3 11" xfId="3307"/>
    <cellStyle name="40% - Accent1 3 11 2" xfId="3308"/>
    <cellStyle name="40% - Accent1 3 11 3" xfId="3309"/>
    <cellStyle name="40% - Accent1 3 11 4" xfId="3310"/>
    <cellStyle name="40% - Accent1 3 11 5" xfId="3311"/>
    <cellStyle name="40% - Accent1 3 11 6" xfId="3312"/>
    <cellStyle name="40% - Accent1 3 11 7" xfId="3313"/>
    <cellStyle name="40% - Accent1 3 11 8" xfId="3314"/>
    <cellStyle name="40% - Accent1 3 12" xfId="3315"/>
    <cellStyle name="40% - Accent1 3 12 2" xfId="3316"/>
    <cellStyle name="40% - Accent1 3 12 3" xfId="3317"/>
    <cellStyle name="40% - Accent1 3 12 4" xfId="3318"/>
    <cellStyle name="40% - Accent1 3 12 5" xfId="3319"/>
    <cellStyle name="40% - Accent1 3 12 6" xfId="3320"/>
    <cellStyle name="40% - Accent1 3 12 7" xfId="3321"/>
    <cellStyle name="40% - Accent1 3 12 8" xfId="3322"/>
    <cellStyle name="40% - Accent1 3 13" xfId="3323"/>
    <cellStyle name="40% - Accent1 3 13 2" xfId="3324"/>
    <cellStyle name="40% - Accent1 3 13 3" xfId="3325"/>
    <cellStyle name="40% - Accent1 3 13 4" xfId="3326"/>
    <cellStyle name="40% - Accent1 3 13 5" xfId="3327"/>
    <cellStyle name="40% - Accent1 3 13 6" xfId="3328"/>
    <cellStyle name="40% - Accent1 3 13 7" xfId="3329"/>
    <cellStyle name="40% - Accent1 3 13 8" xfId="3330"/>
    <cellStyle name="40% - Accent1 3 14" xfId="3331"/>
    <cellStyle name="40% - Accent1 3 14 2" xfId="3332"/>
    <cellStyle name="40% - Accent1 3 14 3" xfId="3333"/>
    <cellStyle name="40% - Accent1 3 14 4" xfId="3334"/>
    <cellStyle name="40% - Accent1 3 14 5" xfId="3335"/>
    <cellStyle name="40% - Accent1 3 14 6" xfId="3336"/>
    <cellStyle name="40% - Accent1 3 14 7" xfId="3337"/>
    <cellStyle name="40% - Accent1 3 14 8" xfId="3338"/>
    <cellStyle name="40% - Accent1 3 15" xfId="3339"/>
    <cellStyle name="40% - Accent1 3 15 2" xfId="3340"/>
    <cellStyle name="40% - Accent1 3 15 3" xfId="3341"/>
    <cellStyle name="40% - Accent1 3 15 4" xfId="3342"/>
    <cellStyle name="40% - Accent1 3 15 5" xfId="3343"/>
    <cellStyle name="40% - Accent1 3 15 6" xfId="3344"/>
    <cellStyle name="40% - Accent1 3 15 7" xfId="3345"/>
    <cellStyle name="40% - Accent1 3 15 8" xfId="3346"/>
    <cellStyle name="40% - Accent1 3 16" xfId="3347"/>
    <cellStyle name="40% - Accent1 3 16 2" xfId="3348"/>
    <cellStyle name="40% - Accent1 3 16 3" xfId="3349"/>
    <cellStyle name="40% - Accent1 3 16 4" xfId="3350"/>
    <cellStyle name="40% - Accent1 3 16 5" xfId="3351"/>
    <cellStyle name="40% - Accent1 3 16 6" xfId="3352"/>
    <cellStyle name="40% - Accent1 3 16 7" xfId="3353"/>
    <cellStyle name="40% - Accent1 3 16 8" xfId="3354"/>
    <cellStyle name="40% - Accent1 3 17" xfId="3355"/>
    <cellStyle name="40% - Accent1 3 17 2" xfId="3356"/>
    <cellStyle name="40% - Accent1 3 17 3" xfId="3357"/>
    <cellStyle name="40% - Accent1 3 17 4" xfId="3358"/>
    <cellStyle name="40% - Accent1 3 17 5" xfId="3359"/>
    <cellStyle name="40% - Accent1 3 17 6" xfId="3360"/>
    <cellStyle name="40% - Accent1 3 17 7" xfId="3361"/>
    <cellStyle name="40% - Accent1 3 17 8" xfId="3362"/>
    <cellStyle name="40% - Accent1 3 18" xfId="3363"/>
    <cellStyle name="40% - Accent1 3 18 2" xfId="3364"/>
    <cellStyle name="40% - Accent1 3 18 3" xfId="3365"/>
    <cellStyle name="40% - Accent1 3 18 4" xfId="3366"/>
    <cellStyle name="40% - Accent1 3 18 5" xfId="3367"/>
    <cellStyle name="40% - Accent1 3 18 6" xfId="3368"/>
    <cellStyle name="40% - Accent1 3 18 7" xfId="3369"/>
    <cellStyle name="40% - Accent1 3 18 8" xfId="3370"/>
    <cellStyle name="40% - Accent1 3 19" xfId="3371"/>
    <cellStyle name="40% - Accent1 3 2" xfId="3372"/>
    <cellStyle name="40% - Accent1 3 2 2" xfId="3373"/>
    <cellStyle name="40% - Accent1 3 2 3" xfId="3374"/>
    <cellStyle name="40% - Accent1 3 2 4" xfId="3375"/>
    <cellStyle name="40% - Accent1 3 2 5" xfId="3376"/>
    <cellStyle name="40% - Accent1 3 2 6" xfId="3377"/>
    <cellStyle name="40% - Accent1 3 2 7" xfId="3378"/>
    <cellStyle name="40% - Accent1 3 2 8" xfId="3379"/>
    <cellStyle name="40% - Accent1 3 20" xfId="3380"/>
    <cellStyle name="40% - Accent1 3 21" xfId="3381"/>
    <cellStyle name="40% - Accent1 3 22" xfId="3382"/>
    <cellStyle name="40% - Accent1 3 23" xfId="3383"/>
    <cellStyle name="40% - Accent1 3 24" xfId="3384"/>
    <cellStyle name="40% - Accent1 3 25" xfId="3385"/>
    <cellStyle name="40% - Accent1 3 26" xfId="3386"/>
    <cellStyle name="40% - Accent1 3 27" xfId="3387"/>
    <cellStyle name="40% - Accent1 3 28" xfId="3388"/>
    <cellStyle name="40% - Accent1 3 29" xfId="3389"/>
    <cellStyle name="40% - Accent1 3 3" xfId="3390"/>
    <cellStyle name="40% - Accent1 3 3 2" xfId="3391"/>
    <cellStyle name="40% - Accent1 3 3 3" xfId="3392"/>
    <cellStyle name="40% - Accent1 3 3 4" xfId="3393"/>
    <cellStyle name="40% - Accent1 3 3 5" xfId="3394"/>
    <cellStyle name="40% - Accent1 3 3 6" xfId="3395"/>
    <cellStyle name="40% - Accent1 3 3 7" xfId="3396"/>
    <cellStyle name="40% - Accent1 3 3 8" xfId="3397"/>
    <cellStyle name="40% - Accent1 3 30" xfId="3398"/>
    <cellStyle name="40% - Accent1 3 31" xfId="3399"/>
    <cellStyle name="40% - Accent1 3 32" xfId="3400"/>
    <cellStyle name="40% - Accent1 3 33" xfId="3401"/>
    <cellStyle name="40% - Accent1 3 34" xfId="3402"/>
    <cellStyle name="40% - Accent1 3 35" xfId="3403"/>
    <cellStyle name="40% - Accent1 3 4" xfId="3404"/>
    <cellStyle name="40% - Accent1 3 4 2" xfId="3405"/>
    <cellStyle name="40% - Accent1 3 4 3" xfId="3406"/>
    <cellStyle name="40% - Accent1 3 4 4" xfId="3407"/>
    <cellStyle name="40% - Accent1 3 4 5" xfId="3408"/>
    <cellStyle name="40% - Accent1 3 4 6" xfId="3409"/>
    <cellStyle name="40% - Accent1 3 4 7" xfId="3410"/>
    <cellStyle name="40% - Accent1 3 4 8" xfId="3411"/>
    <cellStyle name="40% - Accent1 3 5" xfId="3412"/>
    <cellStyle name="40% - Accent1 3 5 2" xfId="3413"/>
    <cellStyle name="40% - Accent1 3 5 3" xfId="3414"/>
    <cellStyle name="40% - Accent1 3 5 4" xfId="3415"/>
    <cellStyle name="40% - Accent1 3 5 5" xfId="3416"/>
    <cellStyle name="40% - Accent1 3 5 6" xfId="3417"/>
    <cellStyle name="40% - Accent1 3 5 7" xfId="3418"/>
    <cellStyle name="40% - Accent1 3 5 8" xfId="3419"/>
    <cellStyle name="40% - Accent1 3 6" xfId="3420"/>
    <cellStyle name="40% - Accent1 3 6 2" xfId="3421"/>
    <cellStyle name="40% - Accent1 3 6 3" xfId="3422"/>
    <cellStyle name="40% - Accent1 3 6 4" xfId="3423"/>
    <cellStyle name="40% - Accent1 3 6 5" xfId="3424"/>
    <cellStyle name="40% - Accent1 3 6 6" xfId="3425"/>
    <cellStyle name="40% - Accent1 3 6 7" xfId="3426"/>
    <cellStyle name="40% - Accent1 3 6 8" xfId="3427"/>
    <cellStyle name="40% - Accent1 3 7" xfId="3428"/>
    <cellStyle name="40% - Accent1 3 7 2" xfId="3429"/>
    <cellStyle name="40% - Accent1 3 7 3" xfId="3430"/>
    <cellStyle name="40% - Accent1 3 7 4" xfId="3431"/>
    <cellStyle name="40% - Accent1 3 7 5" xfId="3432"/>
    <cellStyle name="40% - Accent1 3 7 6" xfId="3433"/>
    <cellStyle name="40% - Accent1 3 7 7" xfId="3434"/>
    <cellStyle name="40% - Accent1 3 7 8" xfId="3435"/>
    <cellStyle name="40% - Accent1 3 8" xfId="3436"/>
    <cellStyle name="40% - Accent1 3 8 2" xfId="3437"/>
    <cellStyle name="40% - Accent1 3 8 3" xfId="3438"/>
    <cellStyle name="40% - Accent1 3 8 4" xfId="3439"/>
    <cellStyle name="40% - Accent1 3 8 5" xfId="3440"/>
    <cellStyle name="40% - Accent1 3 8 6" xfId="3441"/>
    <cellStyle name="40% - Accent1 3 8 7" xfId="3442"/>
    <cellStyle name="40% - Accent1 3 8 8" xfId="3443"/>
    <cellStyle name="40% - Accent1 3 9" xfId="3444"/>
    <cellStyle name="40% - Accent1 3 9 2" xfId="3445"/>
    <cellStyle name="40% - Accent1 3 9 3" xfId="3446"/>
    <cellStyle name="40% - Accent1 3 9 4" xfId="3447"/>
    <cellStyle name="40% - Accent1 3 9 5" xfId="3448"/>
    <cellStyle name="40% - Accent1 3 9 6" xfId="3449"/>
    <cellStyle name="40% - Accent1 3 9 7" xfId="3450"/>
    <cellStyle name="40% - Accent1 3 9 8" xfId="3451"/>
    <cellStyle name="40% - Accent1 4" xfId="3452"/>
    <cellStyle name="40% - Accent1 4 10" xfId="3453"/>
    <cellStyle name="40% - Accent1 4 10 2" xfId="3454"/>
    <cellStyle name="40% - Accent1 4 10 3" xfId="3455"/>
    <cellStyle name="40% - Accent1 4 10 4" xfId="3456"/>
    <cellStyle name="40% - Accent1 4 10 5" xfId="3457"/>
    <cellStyle name="40% - Accent1 4 10 6" xfId="3458"/>
    <cellStyle name="40% - Accent1 4 10 7" xfId="3459"/>
    <cellStyle name="40% - Accent1 4 10 8" xfId="3460"/>
    <cellStyle name="40% - Accent1 4 11" xfId="3461"/>
    <cellStyle name="40% - Accent1 4 11 2" xfId="3462"/>
    <cellStyle name="40% - Accent1 4 11 3" xfId="3463"/>
    <cellStyle name="40% - Accent1 4 11 4" xfId="3464"/>
    <cellStyle name="40% - Accent1 4 11 5" xfId="3465"/>
    <cellStyle name="40% - Accent1 4 11 6" xfId="3466"/>
    <cellStyle name="40% - Accent1 4 11 7" xfId="3467"/>
    <cellStyle name="40% - Accent1 4 11 8" xfId="3468"/>
    <cellStyle name="40% - Accent1 4 12" xfId="3469"/>
    <cellStyle name="40% - Accent1 4 12 2" xfId="3470"/>
    <cellStyle name="40% - Accent1 4 12 3" xfId="3471"/>
    <cellStyle name="40% - Accent1 4 12 4" xfId="3472"/>
    <cellStyle name="40% - Accent1 4 12 5" xfId="3473"/>
    <cellStyle name="40% - Accent1 4 12 6" xfId="3474"/>
    <cellStyle name="40% - Accent1 4 12 7" xfId="3475"/>
    <cellStyle name="40% - Accent1 4 12 8" xfId="3476"/>
    <cellStyle name="40% - Accent1 4 13" xfId="3477"/>
    <cellStyle name="40% - Accent1 4 13 2" xfId="3478"/>
    <cellStyle name="40% - Accent1 4 13 3" xfId="3479"/>
    <cellStyle name="40% - Accent1 4 13 4" xfId="3480"/>
    <cellStyle name="40% - Accent1 4 13 5" xfId="3481"/>
    <cellStyle name="40% - Accent1 4 13 6" xfId="3482"/>
    <cellStyle name="40% - Accent1 4 13 7" xfId="3483"/>
    <cellStyle name="40% - Accent1 4 13 8" xfId="3484"/>
    <cellStyle name="40% - Accent1 4 14" xfId="3485"/>
    <cellStyle name="40% - Accent1 4 14 2" xfId="3486"/>
    <cellStyle name="40% - Accent1 4 14 3" xfId="3487"/>
    <cellStyle name="40% - Accent1 4 14 4" xfId="3488"/>
    <cellStyle name="40% - Accent1 4 14 5" xfId="3489"/>
    <cellStyle name="40% - Accent1 4 14 6" xfId="3490"/>
    <cellStyle name="40% - Accent1 4 14 7" xfId="3491"/>
    <cellStyle name="40% - Accent1 4 14 8" xfId="3492"/>
    <cellStyle name="40% - Accent1 4 15" xfId="3493"/>
    <cellStyle name="40% - Accent1 4 15 2" xfId="3494"/>
    <cellStyle name="40% - Accent1 4 15 3" xfId="3495"/>
    <cellStyle name="40% - Accent1 4 15 4" xfId="3496"/>
    <cellStyle name="40% - Accent1 4 15 5" xfId="3497"/>
    <cellStyle name="40% - Accent1 4 15 6" xfId="3498"/>
    <cellStyle name="40% - Accent1 4 15 7" xfId="3499"/>
    <cellStyle name="40% - Accent1 4 15 8" xfId="3500"/>
    <cellStyle name="40% - Accent1 4 16" xfId="3501"/>
    <cellStyle name="40% - Accent1 4 16 2" xfId="3502"/>
    <cellStyle name="40% - Accent1 4 16 3" xfId="3503"/>
    <cellStyle name="40% - Accent1 4 16 4" xfId="3504"/>
    <cellStyle name="40% - Accent1 4 16 5" xfId="3505"/>
    <cellStyle name="40% - Accent1 4 16 6" xfId="3506"/>
    <cellStyle name="40% - Accent1 4 16 7" xfId="3507"/>
    <cellStyle name="40% - Accent1 4 16 8" xfId="3508"/>
    <cellStyle name="40% - Accent1 4 17" xfId="3509"/>
    <cellStyle name="40% - Accent1 4 17 2" xfId="3510"/>
    <cellStyle name="40% - Accent1 4 17 3" xfId="3511"/>
    <cellStyle name="40% - Accent1 4 17 4" xfId="3512"/>
    <cellStyle name="40% - Accent1 4 17 5" xfId="3513"/>
    <cellStyle name="40% - Accent1 4 17 6" xfId="3514"/>
    <cellStyle name="40% - Accent1 4 17 7" xfId="3515"/>
    <cellStyle name="40% - Accent1 4 17 8" xfId="3516"/>
    <cellStyle name="40% - Accent1 4 18" xfId="3517"/>
    <cellStyle name="40% - Accent1 4 18 2" xfId="3518"/>
    <cellStyle name="40% - Accent1 4 18 3" xfId="3519"/>
    <cellStyle name="40% - Accent1 4 18 4" xfId="3520"/>
    <cellStyle name="40% - Accent1 4 18 5" xfId="3521"/>
    <cellStyle name="40% - Accent1 4 18 6" xfId="3522"/>
    <cellStyle name="40% - Accent1 4 18 7" xfId="3523"/>
    <cellStyle name="40% - Accent1 4 18 8" xfId="3524"/>
    <cellStyle name="40% - Accent1 4 19" xfId="3525"/>
    <cellStyle name="40% - Accent1 4 2" xfId="3526"/>
    <cellStyle name="40% - Accent1 4 2 2" xfId="3527"/>
    <cellStyle name="40% - Accent1 4 2 3" xfId="3528"/>
    <cellStyle name="40% - Accent1 4 2 4" xfId="3529"/>
    <cellStyle name="40% - Accent1 4 2 5" xfId="3530"/>
    <cellStyle name="40% - Accent1 4 2 6" xfId="3531"/>
    <cellStyle name="40% - Accent1 4 2 7" xfId="3532"/>
    <cellStyle name="40% - Accent1 4 2 8" xfId="3533"/>
    <cellStyle name="40% - Accent1 4 20" xfId="3534"/>
    <cellStyle name="40% - Accent1 4 21" xfId="3535"/>
    <cellStyle name="40% - Accent1 4 22" xfId="3536"/>
    <cellStyle name="40% - Accent1 4 23" xfId="3537"/>
    <cellStyle name="40% - Accent1 4 24" xfId="3538"/>
    <cellStyle name="40% - Accent1 4 25" xfId="3539"/>
    <cellStyle name="40% - Accent1 4 26" xfId="3540"/>
    <cellStyle name="40% - Accent1 4 27" xfId="3541"/>
    <cellStyle name="40% - Accent1 4 28" xfId="3542"/>
    <cellStyle name="40% - Accent1 4 29" xfId="3543"/>
    <cellStyle name="40% - Accent1 4 3" xfId="3544"/>
    <cellStyle name="40% - Accent1 4 3 2" xfId="3545"/>
    <cellStyle name="40% - Accent1 4 3 3" xfId="3546"/>
    <cellStyle name="40% - Accent1 4 3 4" xfId="3547"/>
    <cellStyle name="40% - Accent1 4 3 5" xfId="3548"/>
    <cellStyle name="40% - Accent1 4 3 6" xfId="3549"/>
    <cellStyle name="40% - Accent1 4 3 7" xfId="3550"/>
    <cellStyle name="40% - Accent1 4 3 8" xfId="3551"/>
    <cellStyle name="40% - Accent1 4 30" xfId="3552"/>
    <cellStyle name="40% - Accent1 4 31" xfId="3553"/>
    <cellStyle name="40% - Accent1 4 32" xfId="3554"/>
    <cellStyle name="40% - Accent1 4 33" xfId="3555"/>
    <cellStyle name="40% - Accent1 4 34" xfId="3556"/>
    <cellStyle name="40% - Accent1 4 35" xfId="3557"/>
    <cellStyle name="40% - Accent1 4 4" xfId="3558"/>
    <cellStyle name="40% - Accent1 4 4 2" xfId="3559"/>
    <cellStyle name="40% - Accent1 4 4 3" xfId="3560"/>
    <cellStyle name="40% - Accent1 4 4 4" xfId="3561"/>
    <cellStyle name="40% - Accent1 4 4 5" xfId="3562"/>
    <cellStyle name="40% - Accent1 4 4 6" xfId="3563"/>
    <cellStyle name="40% - Accent1 4 4 7" xfId="3564"/>
    <cellStyle name="40% - Accent1 4 4 8" xfId="3565"/>
    <cellStyle name="40% - Accent1 4 5" xfId="3566"/>
    <cellStyle name="40% - Accent1 4 5 2" xfId="3567"/>
    <cellStyle name="40% - Accent1 4 5 3" xfId="3568"/>
    <cellStyle name="40% - Accent1 4 5 4" xfId="3569"/>
    <cellStyle name="40% - Accent1 4 5 5" xfId="3570"/>
    <cellStyle name="40% - Accent1 4 5 6" xfId="3571"/>
    <cellStyle name="40% - Accent1 4 5 7" xfId="3572"/>
    <cellStyle name="40% - Accent1 4 5 8" xfId="3573"/>
    <cellStyle name="40% - Accent1 4 6" xfId="3574"/>
    <cellStyle name="40% - Accent1 4 6 2" xfId="3575"/>
    <cellStyle name="40% - Accent1 4 6 3" xfId="3576"/>
    <cellStyle name="40% - Accent1 4 6 4" xfId="3577"/>
    <cellStyle name="40% - Accent1 4 6 5" xfId="3578"/>
    <cellStyle name="40% - Accent1 4 6 6" xfId="3579"/>
    <cellStyle name="40% - Accent1 4 6 7" xfId="3580"/>
    <cellStyle name="40% - Accent1 4 6 8" xfId="3581"/>
    <cellStyle name="40% - Accent1 4 7" xfId="3582"/>
    <cellStyle name="40% - Accent1 4 7 2" xfId="3583"/>
    <cellStyle name="40% - Accent1 4 7 3" xfId="3584"/>
    <cellStyle name="40% - Accent1 4 7 4" xfId="3585"/>
    <cellStyle name="40% - Accent1 4 7 5" xfId="3586"/>
    <cellStyle name="40% - Accent1 4 7 6" xfId="3587"/>
    <cellStyle name="40% - Accent1 4 7 7" xfId="3588"/>
    <cellStyle name="40% - Accent1 4 7 8" xfId="3589"/>
    <cellStyle name="40% - Accent1 4 8" xfId="3590"/>
    <cellStyle name="40% - Accent1 4 8 2" xfId="3591"/>
    <cellStyle name="40% - Accent1 4 8 3" xfId="3592"/>
    <cellStyle name="40% - Accent1 4 8 4" xfId="3593"/>
    <cellStyle name="40% - Accent1 4 8 5" xfId="3594"/>
    <cellStyle name="40% - Accent1 4 8 6" xfId="3595"/>
    <cellStyle name="40% - Accent1 4 8 7" xfId="3596"/>
    <cellStyle name="40% - Accent1 4 8 8" xfId="3597"/>
    <cellStyle name="40% - Accent1 4 9" xfId="3598"/>
    <cellStyle name="40% - Accent1 4 9 2" xfId="3599"/>
    <cellStyle name="40% - Accent1 4 9 3" xfId="3600"/>
    <cellStyle name="40% - Accent1 4 9 4" xfId="3601"/>
    <cellStyle name="40% - Accent1 4 9 5" xfId="3602"/>
    <cellStyle name="40% - Accent1 4 9 6" xfId="3603"/>
    <cellStyle name="40% - Accent1 4 9 7" xfId="3604"/>
    <cellStyle name="40% - Accent1 4 9 8" xfId="3605"/>
    <cellStyle name="40% - Accent1 5" xfId="3606"/>
    <cellStyle name="40% - Accent1 5 10" xfId="3607"/>
    <cellStyle name="40% - Accent1 5 10 2" xfId="3608"/>
    <cellStyle name="40% - Accent1 5 10 3" xfId="3609"/>
    <cellStyle name="40% - Accent1 5 10 4" xfId="3610"/>
    <cellStyle name="40% - Accent1 5 10 5" xfId="3611"/>
    <cellStyle name="40% - Accent1 5 10 6" xfId="3612"/>
    <cellStyle name="40% - Accent1 5 10 7" xfId="3613"/>
    <cellStyle name="40% - Accent1 5 10 8" xfId="3614"/>
    <cellStyle name="40% - Accent1 5 11" xfId="3615"/>
    <cellStyle name="40% - Accent1 5 11 2" xfId="3616"/>
    <cellStyle name="40% - Accent1 5 11 3" xfId="3617"/>
    <cellStyle name="40% - Accent1 5 11 4" xfId="3618"/>
    <cellStyle name="40% - Accent1 5 11 5" xfId="3619"/>
    <cellStyle name="40% - Accent1 5 11 6" xfId="3620"/>
    <cellStyle name="40% - Accent1 5 11 7" xfId="3621"/>
    <cellStyle name="40% - Accent1 5 11 8" xfId="3622"/>
    <cellStyle name="40% - Accent1 5 12" xfId="3623"/>
    <cellStyle name="40% - Accent1 5 12 2" xfId="3624"/>
    <cellStyle name="40% - Accent1 5 12 3" xfId="3625"/>
    <cellStyle name="40% - Accent1 5 12 4" xfId="3626"/>
    <cellStyle name="40% - Accent1 5 12 5" xfId="3627"/>
    <cellStyle name="40% - Accent1 5 12 6" xfId="3628"/>
    <cellStyle name="40% - Accent1 5 12 7" xfId="3629"/>
    <cellStyle name="40% - Accent1 5 12 8" xfId="3630"/>
    <cellStyle name="40% - Accent1 5 13" xfId="3631"/>
    <cellStyle name="40% - Accent1 5 13 2" xfId="3632"/>
    <cellStyle name="40% - Accent1 5 13 3" xfId="3633"/>
    <cellStyle name="40% - Accent1 5 13 4" xfId="3634"/>
    <cellStyle name="40% - Accent1 5 13 5" xfId="3635"/>
    <cellStyle name="40% - Accent1 5 13 6" xfId="3636"/>
    <cellStyle name="40% - Accent1 5 13 7" xfId="3637"/>
    <cellStyle name="40% - Accent1 5 13 8" xfId="3638"/>
    <cellStyle name="40% - Accent1 5 14" xfId="3639"/>
    <cellStyle name="40% - Accent1 5 14 2" xfId="3640"/>
    <cellStyle name="40% - Accent1 5 14 3" xfId="3641"/>
    <cellStyle name="40% - Accent1 5 14 4" xfId="3642"/>
    <cellStyle name="40% - Accent1 5 14 5" xfId="3643"/>
    <cellStyle name="40% - Accent1 5 14 6" xfId="3644"/>
    <cellStyle name="40% - Accent1 5 14 7" xfId="3645"/>
    <cellStyle name="40% - Accent1 5 14 8" xfId="3646"/>
    <cellStyle name="40% - Accent1 5 15" xfId="3647"/>
    <cellStyle name="40% - Accent1 5 15 2" xfId="3648"/>
    <cellStyle name="40% - Accent1 5 15 3" xfId="3649"/>
    <cellStyle name="40% - Accent1 5 15 4" xfId="3650"/>
    <cellStyle name="40% - Accent1 5 15 5" xfId="3651"/>
    <cellStyle name="40% - Accent1 5 15 6" xfId="3652"/>
    <cellStyle name="40% - Accent1 5 15 7" xfId="3653"/>
    <cellStyle name="40% - Accent1 5 15 8" xfId="3654"/>
    <cellStyle name="40% - Accent1 5 16" xfId="3655"/>
    <cellStyle name="40% - Accent1 5 16 2" xfId="3656"/>
    <cellStyle name="40% - Accent1 5 16 3" xfId="3657"/>
    <cellStyle name="40% - Accent1 5 16 4" xfId="3658"/>
    <cellStyle name="40% - Accent1 5 16 5" xfId="3659"/>
    <cellStyle name="40% - Accent1 5 16 6" xfId="3660"/>
    <cellStyle name="40% - Accent1 5 16 7" xfId="3661"/>
    <cellStyle name="40% - Accent1 5 16 8" xfId="3662"/>
    <cellStyle name="40% - Accent1 5 17" xfId="3663"/>
    <cellStyle name="40% - Accent1 5 17 2" xfId="3664"/>
    <cellStyle name="40% - Accent1 5 17 3" xfId="3665"/>
    <cellStyle name="40% - Accent1 5 17 4" xfId="3666"/>
    <cellStyle name="40% - Accent1 5 17 5" xfId="3667"/>
    <cellStyle name="40% - Accent1 5 17 6" xfId="3668"/>
    <cellStyle name="40% - Accent1 5 17 7" xfId="3669"/>
    <cellStyle name="40% - Accent1 5 17 8" xfId="3670"/>
    <cellStyle name="40% - Accent1 5 18" xfId="3671"/>
    <cellStyle name="40% - Accent1 5 18 2" xfId="3672"/>
    <cellStyle name="40% - Accent1 5 18 3" xfId="3673"/>
    <cellStyle name="40% - Accent1 5 18 4" xfId="3674"/>
    <cellStyle name="40% - Accent1 5 18 5" xfId="3675"/>
    <cellStyle name="40% - Accent1 5 18 6" xfId="3676"/>
    <cellStyle name="40% - Accent1 5 18 7" xfId="3677"/>
    <cellStyle name="40% - Accent1 5 18 8" xfId="3678"/>
    <cellStyle name="40% - Accent1 5 19" xfId="3679"/>
    <cellStyle name="40% - Accent1 5 2" xfId="3680"/>
    <cellStyle name="40% - Accent1 5 2 2" xfId="3681"/>
    <cellStyle name="40% - Accent1 5 2 3" xfId="3682"/>
    <cellStyle name="40% - Accent1 5 2 4" xfId="3683"/>
    <cellStyle name="40% - Accent1 5 2 5" xfId="3684"/>
    <cellStyle name="40% - Accent1 5 2 6" xfId="3685"/>
    <cellStyle name="40% - Accent1 5 2 7" xfId="3686"/>
    <cellStyle name="40% - Accent1 5 2 8" xfId="3687"/>
    <cellStyle name="40% - Accent1 5 20" xfId="3688"/>
    <cellStyle name="40% - Accent1 5 21" xfId="3689"/>
    <cellStyle name="40% - Accent1 5 22" xfId="3690"/>
    <cellStyle name="40% - Accent1 5 23" xfId="3691"/>
    <cellStyle name="40% - Accent1 5 24" xfId="3692"/>
    <cellStyle name="40% - Accent1 5 25" xfId="3693"/>
    <cellStyle name="40% - Accent1 5 26" xfId="3694"/>
    <cellStyle name="40% - Accent1 5 27" xfId="3695"/>
    <cellStyle name="40% - Accent1 5 28" xfId="3696"/>
    <cellStyle name="40% - Accent1 5 29" xfId="3697"/>
    <cellStyle name="40% - Accent1 5 3" xfId="3698"/>
    <cellStyle name="40% - Accent1 5 3 2" xfId="3699"/>
    <cellStyle name="40% - Accent1 5 3 3" xfId="3700"/>
    <cellStyle name="40% - Accent1 5 3 4" xfId="3701"/>
    <cellStyle name="40% - Accent1 5 3 5" xfId="3702"/>
    <cellStyle name="40% - Accent1 5 3 6" xfId="3703"/>
    <cellStyle name="40% - Accent1 5 3 7" xfId="3704"/>
    <cellStyle name="40% - Accent1 5 3 8" xfId="3705"/>
    <cellStyle name="40% - Accent1 5 30" xfId="3706"/>
    <cellStyle name="40% - Accent1 5 31" xfId="3707"/>
    <cellStyle name="40% - Accent1 5 32" xfId="3708"/>
    <cellStyle name="40% - Accent1 5 33" xfId="3709"/>
    <cellStyle name="40% - Accent1 5 34" xfId="3710"/>
    <cellStyle name="40% - Accent1 5 35" xfId="3711"/>
    <cellStyle name="40% - Accent1 5 4" xfId="3712"/>
    <cellStyle name="40% - Accent1 5 4 2" xfId="3713"/>
    <cellStyle name="40% - Accent1 5 4 3" xfId="3714"/>
    <cellStyle name="40% - Accent1 5 4 4" xfId="3715"/>
    <cellStyle name="40% - Accent1 5 4 5" xfId="3716"/>
    <cellStyle name="40% - Accent1 5 4 6" xfId="3717"/>
    <cellStyle name="40% - Accent1 5 4 7" xfId="3718"/>
    <cellStyle name="40% - Accent1 5 4 8" xfId="3719"/>
    <cellStyle name="40% - Accent1 5 5" xfId="3720"/>
    <cellStyle name="40% - Accent1 5 5 2" xfId="3721"/>
    <cellStyle name="40% - Accent1 5 5 3" xfId="3722"/>
    <cellStyle name="40% - Accent1 5 5 4" xfId="3723"/>
    <cellStyle name="40% - Accent1 5 5 5" xfId="3724"/>
    <cellStyle name="40% - Accent1 5 5 6" xfId="3725"/>
    <cellStyle name="40% - Accent1 5 5 7" xfId="3726"/>
    <cellStyle name="40% - Accent1 5 5 8" xfId="3727"/>
    <cellStyle name="40% - Accent1 5 6" xfId="3728"/>
    <cellStyle name="40% - Accent1 5 6 2" xfId="3729"/>
    <cellStyle name="40% - Accent1 5 6 3" xfId="3730"/>
    <cellStyle name="40% - Accent1 5 6 4" xfId="3731"/>
    <cellStyle name="40% - Accent1 5 6 5" xfId="3732"/>
    <cellStyle name="40% - Accent1 5 6 6" xfId="3733"/>
    <cellStyle name="40% - Accent1 5 6 7" xfId="3734"/>
    <cellStyle name="40% - Accent1 5 6 8" xfId="3735"/>
    <cellStyle name="40% - Accent1 5 7" xfId="3736"/>
    <cellStyle name="40% - Accent1 5 7 2" xfId="3737"/>
    <cellStyle name="40% - Accent1 5 7 3" xfId="3738"/>
    <cellStyle name="40% - Accent1 5 7 4" xfId="3739"/>
    <cellStyle name="40% - Accent1 5 7 5" xfId="3740"/>
    <cellStyle name="40% - Accent1 5 7 6" xfId="3741"/>
    <cellStyle name="40% - Accent1 5 7 7" xfId="3742"/>
    <cellStyle name="40% - Accent1 5 7 8" xfId="3743"/>
    <cellStyle name="40% - Accent1 5 8" xfId="3744"/>
    <cellStyle name="40% - Accent1 5 8 2" xfId="3745"/>
    <cellStyle name="40% - Accent1 5 8 3" xfId="3746"/>
    <cellStyle name="40% - Accent1 5 8 4" xfId="3747"/>
    <cellStyle name="40% - Accent1 5 8 5" xfId="3748"/>
    <cellStyle name="40% - Accent1 5 8 6" xfId="3749"/>
    <cellStyle name="40% - Accent1 5 8 7" xfId="3750"/>
    <cellStyle name="40% - Accent1 5 8 8" xfId="3751"/>
    <cellStyle name="40% - Accent1 5 9" xfId="3752"/>
    <cellStyle name="40% - Accent1 5 9 2" xfId="3753"/>
    <cellStyle name="40% - Accent1 5 9 3" xfId="3754"/>
    <cellStyle name="40% - Accent1 5 9 4" xfId="3755"/>
    <cellStyle name="40% - Accent1 5 9 5" xfId="3756"/>
    <cellStyle name="40% - Accent1 5 9 6" xfId="3757"/>
    <cellStyle name="40% - Accent1 5 9 7" xfId="3758"/>
    <cellStyle name="40% - Accent1 5 9 8" xfId="3759"/>
    <cellStyle name="40% - Accent1 6" xfId="3760"/>
    <cellStyle name="40% - Accent2 2" xfId="3761"/>
    <cellStyle name="40% - Accent2 2 2" xfId="3762"/>
    <cellStyle name="40% - Accent2 2 3" xfId="3763"/>
    <cellStyle name="40% - Accent2 2 4" xfId="3764"/>
    <cellStyle name="40% - Accent2 3" xfId="3765"/>
    <cellStyle name="40% - Accent2 3 2" xfId="3766"/>
    <cellStyle name="40% - Accent2 3 2 2" xfId="3767"/>
    <cellStyle name="40% - Accent2 3 2 3" xfId="3768"/>
    <cellStyle name="40% - Accent2 3 3" xfId="3769"/>
    <cellStyle name="40% - Accent2 3 4" xfId="3770"/>
    <cellStyle name="40% - Accent2 4" xfId="3771"/>
    <cellStyle name="40% - Accent2 4 2" xfId="3772"/>
    <cellStyle name="40% - Accent2 4 3" xfId="3773"/>
    <cellStyle name="40% - Accent2 5" xfId="3774"/>
    <cellStyle name="40% - Accent2 6" xfId="3775"/>
    <cellStyle name="40% - Accent3 2" xfId="3776"/>
    <cellStyle name="40% - Accent3 2 10" xfId="3777"/>
    <cellStyle name="40% - Accent3 2 10 2" xfId="3778"/>
    <cellStyle name="40% - Accent3 2 10 3" xfId="3779"/>
    <cellStyle name="40% - Accent3 2 10 4" xfId="3780"/>
    <cellStyle name="40% - Accent3 2 10 5" xfId="3781"/>
    <cellStyle name="40% - Accent3 2 10 6" xfId="3782"/>
    <cellStyle name="40% - Accent3 2 10 7" xfId="3783"/>
    <cellStyle name="40% - Accent3 2 10 8" xfId="3784"/>
    <cellStyle name="40% - Accent3 2 11" xfId="3785"/>
    <cellStyle name="40% - Accent3 2 11 2" xfId="3786"/>
    <cellStyle name="40% - Accent3 2 11 3" xfId="3787"/>
    <cellStyle name="40% - Accent3 2 11 4" xfId="3788"/>
    <cellStyle name="40% - Accent3 2 11 5" xfId="3789"/>
    <cellStyle name="40% - Accent3 2 11 6" xfId="3790"/>
    <cellStyle name="40% - Accent3 2 11 7" xfId="3791"/>
    <cellStyle name="40% - Accent3 2 11 8" xfId="3792"/>
    <cellStyle name="40% - Accent3 2 12" xfId="3793"/>
    <cellStyle name="40% - Accent3 2 12 2" xfId="3794"/>
    <cellStyle name="40% - Accent3 2 12 3" xfId="3795"/>
    <cellStyle name="40% - Accent3 2 12 4" xfId="3796"/>
    <cellStyle name="40% - Accent3 2 12 5" xfId="3797"/>
    <cellStyle name="40% - Accent3 2 12 6" xfId="3798"/>
    <cellStyle name="40% - Accent3 2 12 7" xfId="3799"/>
    <cellStyle name="40% - Accent3 2 12 8" xfId="3800"/>
    <cellStyle name="40% - Accent3 2 13" xfId="3801"/>
    <cellStyle name="40% - Accent3 2 13 2" xfId="3802"/>
    <cellStyle name="40% - Accent3 2 13 3" xfId="3803"/>
    <cellStyle name="40% - Accent3 2 13 4" xfId="3804"/>
    <cellStyle name="40% - Accent3 2 13 5" xfId="3805"/>
    <cellStyle name="40% - Accent3 2 13 6" xfId="3806"/>
    <cellStyle name="40% - Accent3 2 13 7" xfId="3807"/>
    <cellStyle name="40% - Accent3 2 13 8" xfId="3808"/>
    <cellStyle name="40% - Accent3 2 14" xfId="3809"/>
    <cellStyle name="40% - Accent3 2 14 2" xfId="3810"/>
    <cellStyle name="40% - Accent3 2 14 3" xfId="3811"/>
    <cellStyle name="40% - Accent3 2 14 4" xfId="3812"/>
    <cellStyle name="40% - Accent3 2 14 5" xfId="3813"/>
    <cellStyle name="40% - Accent3 2 14 6" xfId="3814"/>
    <cellStyle name="40% - Accent3 2 14 7" xfId="3815"/>
    <cellStyle name="40% - Accent3 2 14 8" xfId="3816"/>
    <cellStyle name="40% - Accent3 2 15" xfId="3817"/>
    <cellStyle name="40% - Accent3 2 15 2" xfId="3818"/>
    <cellStyle name="40% - Accent3 2 15 3" xfId="3819"/>
    <cellStyle name="40% - Accent3 2 15 4" xfId="3820"/>
    <cellStyle name="40% - Accent3 2 15 5" xfId="3821"/>
    <cellStyle name="40% - Accent3 2 15 6" xfId="3822"/>
    <cellStyle name="40% - Accent3 2 15 7" xfId="3823"/>
    <cellStyle name="40% - Accent3 2 15 8" xfId="3824"/>
    <cellStyle name="40% - Accent3 2 16" xfId="3825"/>
    <cellStyle name="40% - Accent3 2 16 2" xfId="3826"/>
    <cellStyle name="40% - Accent3 2 16 3" xfId="3827"/>
    <cellStyle name="40% - Accent3 2 16 4" xfId="3828"/>
    <cellStyle name="40% - Accent3 2 16 5" xfId="3829"/>
    <cellStyle name="40% - Accent3 2 16 6" xfId="3830"/>
    <cellStyle name="40% - Accent3 2 16 7" xfId="3831"/>
    <cellStyle name="40% - Accent3 2 16 8" xfId="3832"/>
    <cellStyle name="40% - Accent3 2 17" xfId="3833"/>
    <cellStyle name="40% - Accent3 2 17 2" xfId="3834"/>
    <cellStyle name="40% - Accent3 2 17 3" xfId="3835"/>
    <cellStyle name="40% - Accent3 2 17 4" xfId="3836"/>
    <cellStyle name="40% - Accent3 2 17 5" xfId="3837"/>
    <cellStyle name="40% - Accent3 2 17 6" xfId="3838"/>
    <cellStyle name="40% - Accent3 2 17 7" xfId="3839"/>
    <cellStyle name="40% - Accent3 2 17 8" xfId="3840"/>
    <cellStyle name="40% - Accent3 2 18" xfId="3841"/>
    <cellStyle name="40% - Accent3 2 18 2" xfId="3842"/>
    <cellStyle name="40% - Accent3 2 18 3" xfId="3843"/>
    <cellStyle name="40% - Accent3 2 18 4" xfId="3844"/>
    <cellStyle name="40% - Accent3 2 18 5" xfId="3845"/>
    <cellStyle name="40% - Accent3 2 18 6" xfId="3846"/>
    <cellStyle name="40% - Accent3 2 18 7" xfId="3847"/>
    <cellStyle name="40% - Accent3 2 18 8" xfId="3848"/>
    <cellStyle name="40% - Accent3 2 19" xfId="3849"/>
    <cellStyle name="40% - Accent3 2 2" xfId="3850"/>
    <cellStyle name="40% - Accent3 2 2 2" xfId="3851"/>
    <cellStyle name="40% - Accent3 2 2 3" xfId="3852"/>
    <cellStyle name="40% - Accent3 2 2 4" xfId="3853"/>
    <cellStyle name="40% - Accent3 2 2 5" xfId="3854"/>
    <cellStyle name="40% - Accent3 2 2 6" xfId="3855"/>
    <cellStyle name="40% - Accent3 2 2 7" xfId="3856"/>
    <cellStyle name="40% - Accent3 2 2 8" xfId="3857"/>
    <cellStyle name="40% - Accent3 2 20" xfId="3858"/>
    <cellStyle name="40% - Accent3 2 21" xfId="3859"/>
    <cellStyle name="40% - Accent3 2 22" xfId="3860"/>
    <cellStyle name="40% - Accent3 2 23" xfId="3861"/>
    <cellStyle name="40% - Accent3 2 24" xfId="3862"/>
    <cellStyle name="40% - Accent3 2 25" xfId="3863"/>
    <cellStyle name="40% - Accent3 2 26" xfId="3864"/>
    <cellStyle name="40% - Accent3 2 27" xfId="3865"/>
    <cellStyle name="40% - Accent3 2 28" xfId="3866"/>
    <cellStyle name="40% - Accent3 2 29" xfId="3867"/>
    <cellStyle name="40% - Accent3 2 3" xfId="3868"/>
    <cellStyle name="40% - Accent3 2 3 2" xfId="3869"/>
    <cellStyle name="40% - Accent3 2 3 3" xfId="3870"/>
    <cellStyle name="40% - Accent3 2 3 4" xfId="3871"/>
    <cellStyle name="40% - Accent3 2 3 5" xfId="3872"/>
    <cellStyle name="40% - Accent3 2 3 6" xfId="3873"/>
    <cellStyle name="40% - Accent3 2 3 7" xfId="3874"/>
    <cellStyle name="40% - Accent3 2 3 8" xfId="3875"/>
    <cellStyle name="40% - Accent3 2 30" xfId="3876"/>
    <cellStyle name="40% - Accent3 2 31" xfId="3877"/>
    <cellStyle name="40% - Accent3 2 32" xfId="3878"/>
    <cellStyle name="40% - Accent3 2 33" xfId="3879"/>
    <cellStyle name="40% - Accent3 2 34" xfId="3880"/>
    <cellStyle name="40% - Accent3 2 35" xfId="3881"/>
    <cellStyle name="40% - Accent3 2 36" xfId="3882"/>
    <cellStyle name="40% - Accent3 2 37" xfId="3883"/>
    <cellStyle name="40% - Accent3 2 38" xfId="3884"/>
    <cellStyle name="40% - Accent3 2 4" xfId="3885"/>
    <cellStyle name="40% - Accent3 2 4 2" xfId="3886"/>
    <cellStyle name="40% - Accent3 2 4 3" xfId="3887"/>
    <cellStyle name="40% - Accent3 2 4 4" xfId="3888"/>
    <cellStyle name="40% - Accent3 2 4 5" xfId="3889"/>
    <cellStyle name="40% - Accent3 2 4 6" xfId="3890"/>
    <cellStyle name="40% - Accent3 2 4 7" xfId="3891"/>
    <cellStyle name="40% - Accent3 2 4 8" xfId="3892"/>
    <cellStyle name="40% - Accent3 2 5" xfId="3893"/>
    <cellStyle name="40% - Accent3 2 5 2" xfId="3894"/>
    <cellStyle name="40% - Accent3 2 5 3" xfId="3895"/>
    <cellStyle name="40% - Accent3 2 5 4" xfId="3896"/>
    <cellStyle name="40% - Accent3 2 5 5" xfId="3897"/>
    <cellStyle name="40% - Accent3 2 5 6" xfId="3898"/>
    <cellStyle name="40% - Accent3 2 5 7" xfId="3899"/>
    <cellStyle name="40% - Accent3 2 5 8" xfId="3900"/>
    <cellStyle name="40% - Accent3 2 6" xfId="3901"/>
    <cellStyle name="40% - Accent3 2 6 2" xfId="3902"/>
    <cellStyle name="40% - Accent3 2 6 3" xfId="3903"/>
    <cellStyle name="40% - Accent3 2 6 4" xfId="3904"/>
    <cellStyle name="40% - Accent3 2 6 5" xfId="3905"/>
    <cellStyle name="40% - Accent3 2 6 6" xfId="3906"/>
    <cellStyle name="40% - Accent3 2 6 7" xfId="3907"/>
    <cellStyle name="40% - Accent3 2 6 8" xfId="3908"/>
    <cellStyle name="40% - Accent3 2 7" xfId="3909"/>
    <cellStyle name="40% - Accent3 2 7 2" xfId="3910"/>
    <cellStyle name="40% - Accent3 2 7 3" xfId="3911"/>
    <cellStyle name="40% - Accent3 2 7 4" xfId="3912"/>
    <cellStyle name="40% - Accent3 2 7 5" xfId="3913"/>
    <cellStyle name="40% - Accent3 2 7 6" xfId="3914"/>
    <cellStyle name="40% - Accent3 2 7 7" xfId="3915"/>
    <cellStyle name="40% - Accent3 2 7 8" xfId="3916"/>
    <cellStyle name="40% - Accent3 2 8" xfId="3917"/>
    <cellStyle name="40% - Accent3 2 8 2" xfId="3918"/>
    <cellStyle name="40% - Accent3 2 8 3" xfId="3919"/>
    <cellStyle name="40% - Accent3 2 8 4" xfId="3920"/>
    <cellStyle name="40% - Accent3 2 8 5" xfId="3921"/>
    <cellStyle name="40% - Accent3 2 8 6" xfId="3922"/>
    <cellStyle name="40% - Accent3 2 8 7" xfId="3923"/>
    <cellStyle name="40% - Accent3 2 8 8" xfId="3924"/>
    <cellStyle name="40% - Accent3 2 9" xfId="3925"/>
    <cellStyle name="40% - Accent3 2 9 2" xfId="3926"/>
    <cellStyle name="40% - Accent3 2 9 3" xfId="3927"/>
    <cellStyle name="40% - Accent3 2 9 4" xfId="3928"/>
    <cellStyle name="40% - Accent3 2 9 5" xfId="3929"/>
    <cellStyle name="40% - Accent3 2 9 6" xfId="3930"/>
    <cellStyle name="40% - Accent3 2 9 7" xfId="3931"/>
    <cellStyle name="40% - Accent3 2 9 8" xfId="3932"/>
    <cellStyle name="40% - Accent3 3" xfId="3933"/>
    <cellStyle name="40% - Accent3 3 10" xfId="3934"/>
    <cellStyle name="40% - Accent3 3 10 2" xfId="3935"/>
    <cellStyle name="40% - Accent3 3 10 3" xfId="3936"/>
    <cellStyle name="40% - Accent3 3 10 4" xfId="3937"/>
    <cellStyle name="40% - Accent3 3 10 5" xfId="3938"/>
    <cellStyle name="40% - Accent3 3 10 6" xfId="3939"/>
    <cellStyle name="40% - Accent3 3 10 7" xfId="3940"/>
    <cellStyle name="40% - Accent3 3 10 8" xfId="3941"/>
    <cellStyle name="40% - Accent3 3 11" xfId="3942"/>
    <cellStyle name="40% - Accent3 3 11 2" xfId="3943"/>
    <cellStyle name="40% - Accent3 3 11 3" xfId="3944"/>
    <cellStyle name="40% - Accent3 3 11 4" xfId="3945"/>
    <cellStyle name="40% - Accent3 3 11 5" xfId="3946"/>
    <cellStyle name="40% - Accent3 3 11 6" xfId="3947"/>
    <cellStyle name="40% - Accent3 3 11 7" xfId="3948"/>
    <cellStyle name="40% - Accent3 3 11 8" xfId="3949"/>
    <cellStyle name="40% - Accent3 3 12" xfId="3950"/>
    <cellStyle name="40% - Accent3 3 12 2" xfId="3951"/>
    <cellStyle name="40% - Accent3 3 12 3" xfId="3952"/>
    <cellStyle name="40% - Accent3 3 12 4" xfId="3953"/>
    <cellStyle name="40% - Accent3 3 12 5" xfId="3954"/>
    <cellStyle name="40% - Accent3 3 12 6" xfId="3955"/>
    <cellStyle name="40% - Accent3 3 12 7" xfId="3956"/>
    <cellStyle name="40% - Accent3 3 12 8" xfId="3957"/>
    <cellStyle name="40% - Accent3 3 13" xfId="3958"/>
    <cellStyle name="40% - Accent3 3 13 2" xfId="3959"/>
    <cellStyle name="40% - Accent3 3 13 3" xfId="3960"/>
    <cellStyle name="40% - Accent3 3 13 4" xfId="3961"/>
    <cellStyle name="40% - Accent3 3 13 5" xfId="3962"/>
    <cellStyle name="40% - Accent3 3 13 6" xfId="3963"/>
    <cellStyle name="40% - Accent3 3 13 7" xfId="3964"/>
    <cellStyle name="40% - Accent3 3 13 8" xfId="3965"/>
    <cellStyle name="40% - Accent3 3 14" xfId="3966"/>
    <cellStyle name="40% - Accent3 3 14 2" xfId="3967"/>
    <cellStyle name="40% - Accent3 3 14 3" xfId="3968"/>
    <cellStyle name="40% - Accent3 3 14 4" xfId="3969"/>
    <cellStyle name="40% - Accent3 3 14 5" xfId="3970"/>
    <cellStyle name="40% - Accent3 3 14 6" xfId="3971"/>
    <cellStyle name="40% - Accent3 3 14 7" xfId="3972"/>
    <cellStyle name="40% - Accent3 3 14 8" xfId="3973"/>
    <cellStyle name="40% - Accent3 3 15" xfId="3974"/>
    <cellStyle name="40% - Accent3 3 15 2" xfId="3975"/>
    <cellStyle name="40% - Accent3 3 15 3" xfId="3976"/>
    <cellStyle name="40% - Accent3 3 15 4" xfId="3977"/>
    <cellStyle name="40% - Accent3 3 15 5" xfId="3978"/>
    <cellStyle name="40% - Accent3 3 15 6" xfId="3979"/>
    <cellStyle name="40% - Accent3 3 15 7" xfId="3980"/>
    <cellStyle name="40% - Accent3 3 15 8" xfId="3981"/>
    <cellStyle name="40% - Accent3 3 16" xfId="3982"/>
    <cellStyle name="40% - Accent3 3 16 2" xfId="3983"/>
    <cellStyle name="40% - Accent3 3 16 3" xfId="3984"/>
    <cellStyle name="40% - Accent3 3 16 4" xfId="3985"/>
    <cellStyle name="40% - Accent3 3 16 5" xfId="3986"/>
    <cellStyle name="40% - Accent3 3 16 6" xfId="3987"/>
    <cellStyle name="40% - Accent3 3 16 7" xfId="3988"/>
    <cellStyle name="40% - Accent3 3 16 8" xfId="3989"/>
    <cellStyle name="40% - Accent3 3 17" xfId="3990"/>
    <cellStyle name="40% - Accent3 3 17 2" xfId="3991"/>
    <cellStyle name="40% - Accent3 3 17 3" xfId="3992"/>
    <cellStyle name="40% - Accent3 3 17 4" xfId="3993"/>
    <cellStyle name="40% - Accent3 3 17 5" xfId="3994"/>
    <cellStyle name="40% - Accent3 3 17 6" xfId="3995"/>
    <cellStyle name="40% - Accent3 3 17 7" xfId="3996"/>
    <cellStyle name="40% - Accent3 3 17 8" xfId="3997"/>
    <cellStyle name="40% - Accent3 3 18" xfId="3998"/>
    <cellStyle name="40% - Accent3 3 18 2" xfId="3999"/>
    <cellStyle name="40% - Accent3 3 18 3" xfId="4000"/>
    <cellStyle name="40% - Accent3 3 18 4" xfId="4001"/>
    <cellStyle name="40% - Accent3 3 18 5" xfId="4002"/>
    <cellStyle name="40% - Accent3 3 18 6" xfId="4003"/>
    <cellStyle name="40% - Accent3 3 18 7" xfId="4004"/>
    <cellStyle name="40% - Accent3 3 18 8" xfId="4005"/>
    <cellStyle name="40% - Accent3 3 19" xfId="4006"/>
    <cellStyle name="40% - Accent3 3 2" xfId="4007"/>
    <cellStyle name="40% - Accent3 3 2 2" xfId="4008"/>
    <cellStyle name="40% - Accent3 3 2 3" xfId="4009"/>
    <cellStyle name="40% - Accent3 3 2 4" xfId="4010"/>
    <cellStyle name="40% - Accent3 3 2 5" xfId="4011"/>
    <cellStyle name="40% - Accent3 3 2 6" xfId="4012"/>
    <cellStyle name="40% - Accent3 3 2 7" xfId="4013"/>
    <cellStyle name="40% - Accent3 3 2 8" xfId="4014"/>
    <cellStyle name="40% - Accent3 3 20" xfId="4015"/>
    <cellStyle name="40% - Accent3 3 21" xfId="4016"/>
    <cellStyle name="40% - Accent3 3 22" xfId="4017"/>
    <cellStyle name="40% - Accent3 3 23" xfId="4018"/>
    <cellStyle name="40% - Accent3 3 24" xfId="4019"/>
    <cellStyle name="40% - Accent3 3 25" xfId="4020"/>
    <cellStyle name="40% - Accent3 3 26" xfId="4021"/>
    <cellStyle name="40% - Accent3 3 27" xfId="4022"/>
    <cellStyle name="40% - Accent3 3 28" xfId="4023"/>
    <cellStyle name="40% - Accent3 3 29" xfId="4024"/>
    <cellStyle name="40% - Accent3 3 3" xfId="4025"/>
    <cellStyle name="40% - Accent3 3 3 2" xfId="4026"/>
    <cellStyle name="40% - Accent3 3 3 3" xfId="4027"/>
    <cellStyle name="40% - Accent3 3 3 4" xfId="4028"/>
    <cellStyle name="40% - Accent3 3 3 5" xfId="4029"/>
    <cellStyle name="40% - Accent3 3 3 6" xfId="4030"/>
    <cellStyle name="40% - Accent3 3 3 7" xfId="4031"/>
    <cellStyle name="40% - Accent3 3 3 8" xfId="4032"/>
    <cellStyle name="40% - Accent3 3 30" xfId="4033"/>
    <cellStyle name="40% - Accent3 3 31" xfId="4034"/>
    <cellStyle name="40% - Accent3 3 32" xfId="4035"/>
    <cellStyle name="40% - Accent3 3 33" xfId="4036"/>
    <cellStyle name="40% - Accent3 3 34" xfId="4037"/>
    <cellStyle name="40% - Accent3 3 35" xfId="4038"/>
    <cellStyle name="40% - Accent3 3 4" xfId="4039"/>
    <cellStyle name="40% - Accent3 3 4 2" xfId="4040"/>
    <cellStyle name="40% - Accent3 3 4 3" xfId="4041"/>
    <cellStyle name="40% - Accent3 3 4 4" xfId="4042"/>
    <cellStyle name="40% - Accent3 3 4 5" xfId="4043"/>
    <cellStyle name="40% - Accent3 3 4 6" xfId="4044"/>
    <cellStyle name="40% - Accent3 3 4 7" xfId="4045"/>
    <cellStyle name="40% - Accent3 3 4 8" xfId="4046"/>
    <cellStyle name="40% - Accent3 3 5" xfId="4047"/>
    <cellStyle name="40% - Accent3 3 5 2" xfId="4048"/>
    <cellStyle name="40% - Accent3 3 5 3" xfId="4049"/>
    <cellStyle name="40% - Accent3 3 5 4" xfId="4050"/>
    <cellStyle name="40% - Accent3 3 5 5" xfId="4051"/>
    <cellStyle name="40% - Accent3 3 5 6" xfId="4052"/>
    <cellStyle name="40% - Accent3 3 5 7" xfId="4053"/>
    <cellStyle name="40% - Accent3 3 5 8" xfId="4054"/>
    <cellStyle name="40% - Accent3 3 6" xfId="4055"/>
    <cellStyle name="40% - Accent3 3 6 2" xfId="4056"/>
    <cellStyle name="40% - Accent3 3 6 3" xfId="4057"/>
    <cellStyle name="40% - Accent3 3 6 4" xfId="4058"/>
    <cellStyle name="40% - Accent3 3 6 5" xfId="4059"/>
    <cellStyle name="40% - Accent3 3 6 6" xfId="4060"/>
    <cellStyle name="40% - Accent3 3 6 7" xfId="4061"/>
    <cellStyle name="40% - Accent3 3 6 8" xfId="4062"/>
    <cellStyle name="40% - Accent3 3 7" xfId="4063"/>
    <cellStyle name="40% - Accent3 3 7 2" xfId="4064"/>
    <cellStyle name="40% - Accent3 3 7 3" xfId="4065"/>
    <cellStyle name="40% - Accent3 3 7 4" xfId="4066"/>
    <cellStyle name="40% - Accent3 3 7 5" xfId="4067"/>
    <cellStyle name="40% - Accent3 3 7 6" xfId="4068"/>
    <cellStyle name="40% - Accent3 3 7 7" xfId="4069"/>
    <cellStyle name="40% - Accent3 3 7 8" xfId="4070"/>
    <cellStyle name="40% - Accent3 3 8" xfId="4071"/>
    <cellStyle name="40% - Accent3 3 8 2" xfId="4072"/>
    <cellStyle name="40% - Accent3 3 8 3" xfId="4073"/>
    <cellStyle name="40% - Accent3 3 8 4" xfId="4074"/>
    <cellStyle name="40% - Accent3 3 8 5" xfId="4075"/>
    <cellStyle name="40% - Accent3 3 8 6" xfId="4076"/>
    <cellStyle name="40% - Accent3 3 8 7" xfId="4077"/>
    <cellStyle name="40% - Accent3 3 8 8" xfId="4078"/>
    <cellStyle name="40% - Accent3 3 9" xfId="4079"/>
    <cellStyle name="40% - Accent3 3 9 2" xfId="4080"/>
    <cellStyle name="40% - Accent3 3 9 3" xfId="4081"/>
    <cellStyle name="40% - Accent3 3 9 4" xfId="4082"/>
    <cellStyle name="40% - Accent3 3 9 5" xfId="4083"/>
    <cellStyle name="40% - Accent3 3 9 6" xfId="4084"/>
    <cellStyle name="40% - Accent3 3 9 7" xfId="4085"/>
    <cellStyle name="40% - Accent3 3 9 8" xfId="4086"/>
    <cellStyle name="40% - Accent3 4" xfId="4087"/>
    <cellStyle name="40% - Accent3 4 10" xfId="4088"/>
    <cellStyle name="40% - Accent3 4 10 2" xfId="4089"/>
    <cellStyle name="40% - Accent3 4 10 3" xfId="4090"/>
    <cellStyle name="40% - Accent3 4 10 4" xfId="4091"/>
    <cellStyle name="40% - Accent3 4 10 5" xfId="4092"/>
    <cellStyle name="40% - Accent3 4 10 6" xfId="4093"/>
    <cellStyle name="40% - Accent3 4 10 7" xfId="4094"/>
    <cellStyle name="40% - Accent3 4 10 8" xfId="4095"/>
    <cellStyle name="40% - Accent3 4 11" xfId="4096"/>
    <cellStyle name="40% - Accent3 4 11 2" xfId="4097"/>
    <cellStyle name="40% - Accent3 4 11 3" xfId="4098"/>
    <cellStyle name="40% - Accent3 4 11 4" xfId="4099"/>
    <cellStyle name="40% - Accent3 4 11 5" xfId="4100"/>
    <cellStyle name="40% - Accent3 4 11 6" xfId="4101"/>
    <cellStyle name="40% - Accent3 4 11 7" xfId="4102"/>
    <cellStyle name="40% - Accent3 4 11 8" xfId="4103"/>
    <cellStyle name="40% - Accent3 4 12" xfId="4104"/>
    <cellStyle name="40% - Accent3 4 12 2" xfId="4105"/>
    <cellStyle name="40% - Accent3 4 12 3" xfId="4106"/>
    <cellStyle name="40% - Accent3 4 12 4" xfId="4107"/>
    <cellStyle name="40% - Accent3 4 12 5" xfId="4108"/>
    <cellStyle name="40% - Accent3 4 12 6" xfId="4109"/>
    <cellStyle name="40% - Accent3 4 12 7" xfId="4110"/>
    <cellStyle name="40% - Accent3 4 12 8" xfId="4111"/>
    <cellStyle name="40% - Accent3 4 13" xfId="4112"/>
    <cellStyle name="40% - Accent3 4 13 2" xfId="4113"/>
    <cellStyle name="40% - Accent3 4 13 3" xfId="4114"/>
    <cellStyle name="40% - Accent3 4 13 4" xfId="4115"/>
    <cellStyle name="40% - Accent3 4 13 5" xfId="4116"/>
    <cellStyle name="40% - Accent3 4 13 6" xfId="4117"/>
    <cellStyle name="40% - Accent3 4 13 7" xfId="4118"/>
    <cellStyle name="40% - Accent3 4 13 8" xfId="4119"/>
    <cellStyle name="40% - Accent3 4 14" xfId="4120"/>
    <cellStyle name="40% - Accent3 4 14 2" xfId="4121"/>
    <cellStyle name="40% - Accent3 4 14 3" xfId="4122"/>
    <cellStyle name="40% - Accent3 4 14 4" xfId="4123"/>
    <cellStyle name="40% - Accent3 4 14 5" xfId="4124"/>
    <cellStyle name="40% - Accent3 4 14 6" xfId="4125"/>
    <cellStyle name="40% - Accent3 4 14 7" xfId="4126"/>
    <cellStyle name="40% - Accent3 4 14 8" xfId="4127"/>
    <cellStyle name="40% - Accent3 4 15" xfId="4128"/>
    <cellStyle name="40% - Accent3 4 15 2" xfId="4129"/>
    <cellStyle name="40% - Accent3 4 15 3" xfId="4130"/>
    <cellStyle name="40% - Accent3 4 15 4" xfId="4131"/>
    <cellStyle name="40% - Accent3 4 15 5" xfId="4132"/>
    <cellStyle name="40% - Accent3 4 15 6" xfId="4133"/>
    <cellStyle name="40% - Accent3 4 15 7" xfId="4134"/>
    <cellStyle name="40% - Accent3 4 15 8" xfId="4135"/>
    <cellStyle name="40% - Accent3 4 16" xfId="4136"/>
    <cellStyle name="40% - Accent3 4 16 2" xfId="4137"/>
    <cellStyle name="40% - Accent3 4 16 3" xfId="4138"/>
    <cellStyle name="40% - Accent3 4 16 4" xfId="4139"/>
    <cellStyle name="40% - Accent3 4 16 5" xfId="4140"/>
    <cellStyle name="40% - Accent3 4 16 6" xfId="4141"/>
    <cellStyle name="40% - Accent3 4 16 7" xfId="4142"/>
    <cellStyle name="40% - Accent3 4 16 8" xfId="4143"/>
    <cellStyle name="40% - Accent3 4 17" xfId="4144"/>
    <cellStyle name="40% - Accent3 4 17 2" xfId="4145"/>
    <cellStyle name="40% - Accent3 4 17 3" xfId="4146"/>
    <cellStyle name="40% - Accent3 4 17 4" xfId="4147"/>
    <cellStyle name="40% - Accent3 4 17 5" xfId="4148"/>
    <cellStyle name="40% - Accent3 4 17 6" xfId="4149"/>
    <cellStyle name="40% - Accent3 4 17 7" xfId="4150"/>
    <cellStyle name="40% - Accent3 4 17 8" xfId="4151"/>
    <cellStyle name="40% - Accent3 4 18" xfId="4152"/>
    <cellStyle name="40% - Accent3 4 18 2" xfId="4153"/>
    <cellStyle name="40% - Accent3 4 18 3" xfId="4154"/>
    <cellStyle name="40% - Accent3 4 18 4" xfId="4155"/>
    <cellStyle name="40% - Accent3 4 18 5" xfId="4156"/>
    <cellStyle name="40% - Accent3 4 18 6" xfId="4157"/>
    <cellStyle name="40% - Accent3 4 18 7" xfId="4158"/>
    <cellStyle name="40% - Accent3 4 18 8" xfId="4159"/>
    <cellStyle name="40% - Accent3 4 19" xfId="4160"/>
    <cellStyle name="40% - Accent3 4 2" xfId="4161"/>
    <cellStyle name="40% - Accent3 4 2 2" xfId="4162"/>
    <cellStyle name="40% - Accent3 4 2 3" xfId="4163"/>
    <cellStyle name="40% - Accent3 4 2 4" xfId="4164"/>
    <cellStyle name="40% - Accent3 4 2 5" xfId="4165"/>
    <cellStyle name="40% - Accent3 4 2 6" xfId="4166"/>
    <cellStyle name="40% - Accent3 4 2 7" xfId="4167"/>
    <cellStyle name="40% - Accent3 4 2 8" xfId="4168"/>
    <cellStyle name="40% - Accent3 4 20" xfId="4169"/>
    <cellStyle name="40% - Accent3 4 21" xfId="4170"/>
    <cellStyle name="40% - Accent3 4 22" xfId="4171"/>
    <cellStyle name="40% - Accent3 4 23" xfId="4172"/>
    <cellStyle name="40% - Accent3 4 24" xfId="4173"/>
    <cellStyle name="40% - Accent3 4 25" xfId="4174"/>
    <cellStyle name="40% - Accent3 4 26" xfId="4175"/>
    <cellStyle name="40% - Accent3 4 27" xfId="4176"/>
    <cellStyle name="40% - Accent3 4 28" xfId="4177"/>
    <cellStyle name="40% - Accent3 4 29" xfId="4178"/>
    <cellStyle name="40% - Accent3 4 3" xfId="4179"/>
    <cellStyle name="40% - Accent3 4 3 2" xfId="4180"/>
    <cellStyle name="40% - Accent3 4 3 3" xfId="4181"/>
    <cellStyle name="40% - Accent3 4 3 4" xfId="4182"/>
    <cellStyle name="40% - Accent3 4 3 5" xfId="4183"/>
    <cellStyle name="40% - Accent3 4 3 6" xfId="4184"/>
    <cellStyle name="40% - Accent3 4 3 7" xfId="4185"/>
    <cellStyle name="40% - Accent3 4 3 8" xfId="4186"/>
    <cellStyle name="40% - Accent3 4 30" xfId="4187"/>
    <cellStyle name="40% - Accent3 4 31" xfId="4188"/>
    <cellStyle name="40% - Accent3 4 32" xfId="4189"/>
    <cellStyle name="40% - Accent3 4 33" xfId="4190"/>
    <cellStyle name="40% - Accent3 4 34" xfId="4191"/>
    <cellStyle name="40% - Accent3 4 35" xfId="4192"/>
    <cellStyle name="40% - Accent3 4 4" xfId="4193"/>
    <cellStyle name="40% - Accent3 4 4 2" xfId="4194"/>
    <cellStyle name="40% - Accent3 4 4 3" xfId="4195"/>
    <cellStyle name="40% - Accent3 4 4 4" xfId="4196"/>
    <cellStyle name="40% - Accent3 4 4 5" xfId="4197"/>
    <cellStyle name="40% - Accent3 4 4 6" xfId="4198"/>
    <cellStyle name="40% - Accent3 4 4 7" xfId="4199"/>
    <cellStyle name="40% - Accent3 4 4 8" xfId="4200"/>
    <cellStyle name="40% - Accent3 4 5" xfId="4201"/>
    <cellStyle name="40% - Accent3 4 5 2" xfId="4202"/>
    <cellStyle name="40% - Accent3 4 5 3" xfId="4203"/>
    <cellStyle name="40% - Accent3 4 5 4" xfId="4204"/>
    <cellStyle name="40% - Accent3 4 5 5" xfId="4205"/>
    <cellStyle name="40% - Accent3 4 5 6" xfId="4206"/>
    <cellStyle name="40% - Accent3 4 5 7" xfId="4207"/>
    <cellStyle name="40% - Accent3 4 5 8" xfId="4208"/>
    <cellStyle name="40% - Accent3 4 6" xfId="4209"/>
    <cellStyle name="40% - Accent3 4 6 2" xfId="4210"/>
    <cellStyle name="40% - Accent3 4 6 3" xfId="4211"/>
    <cellStyle name="40% - Accent3 4 6 4" xfId="4212"/>
    <cellStyle name="40% - Accent3 4 6 5" xfId="4213"/>
    <cellStyle name="40% - Accent3 4 6 6" xfId="4214"/>
    <cellStyle name="40% - Accent3 4 6 7" xfId="4215"/>
    <cellStyle name="40% - Accent3 4 6 8" xfId="4216"/>
    <cellStyle name="40% - Accent3 4 7" xfId="4217"/>
    <cellStyle name="40% - Accent3 4 7 2" xfId="4218"/>
    <cellStyle name="40% - Accent3 4 7 3" xfId="4219"/>
    <cellStyle name="40% - Accent3 4 7 4" xfId="4220"/>
    <cellStyle name="40% - Accent3 4 7 5" xfId="4221"/>
    <cellStyle name="40% - Accent3 4 7 6" xfId="4222"/>
    <cellStyle name="40% - Accent3 4 7 7" xfId="4223"/>
    <cellStyle name="40% - Accent3 4 7 8" xfId="4224"/>
    <cellStyle name="40% - Accent3 4 8" xfId="4225"/>
    <cellStyle name="40% - Accent3 4 8 2" xfId="4226"/>
    <cellStyle name="40% - Accent3 4 8 3" xfId="4227"/>
    <cellStyle name="40% - Accent3 4 8 4" xfId="4228"/>
    <cellStyle name="40% - Accent3 4 8 5" xfId="4229"/>
    <cellStyle name="40% - Accent3 4 8 6" xfId="4230"/>
    <cellStyle name="40% - Accent3 4 8 7" xfId="4231"/>
    <cellStyle name="40% - Accent3 4 8 8" xfId="4232"/>
    <cellStyle name="40% - Accent3 4 9" xfId="4233"/>
    <cellStyle name="40% - Accent3 4 9 2" xfId="4234"/>
    <cellStyle name="40% - Accent3 4 9 3" xfId="4235"/>
    <cellStyle name="40% - Accent3 4 9 4" xfId="4236"/>
    <cellStyle name="40% - Accent3 4 9 5" xfId="4237"/>
    <cellStyle name="40% - Accent3 4 9 6" xfId="4238"/>
    <cellStyle name="40% - Accent3 4 9 7" xfId="4239"/>
    <cellStyle name="40% - Accent3 4 9 8" xfId="4240"/>
    <cellStyle name="40% - Accent3 5" xfId="4241"/>
    <cellStyle name="40% - Accent3 5 10" xfId="4242"/>
    <cellStyle name="40% - Accent3 5 10 2" xfId="4243"/>
    <cellStyle name="40% - Accent3 5 10 3" xfId="4244"/>
    <cellStyle name="40% - Accent3 5 10 4" xfId="4245"/>
    <cellStyle name="40% - Accent3 5 10 5" xfId="4246"/>
    <cellStyle name="40% - Accent3 5 10 6" xfId="4247"/>
    <cellStyle name="40% - Accent3 5 10 7" xfId="4248"/>
    <cellStyle name="40% - Accent3 5 10 8" xfId="4249"/>
    <cellStyle name="40% - Accent3 5 11" xfId="4250"/>
    <cellStyle name="40% - Accent3 5 11 2" xfId="4251"/>
    <cellStyle name="40% - Accent3 5 11 3" xfId="4252"/>
    <cellStyle name="40% - Accent3 5 11 4" xfId="4253"/>
    <cellStyle name="40% - Accent3 5 11 5" xfId="4254"/>
    <cellStyle name="40% - Accent3 5 11 6" xfId="4255"/>
    <cellStyle name="40% - Accent3 5 11 7" xfId="4256"/>
    <cellStyle name="40% - Accent3 5 11 8" xfId="4257"/>
    <cellStyle name="40% - Accent3 5 12" xfId="4258"/>
    <cellStyle name="40% - Accent3 5 12 2" xfId="4259"/>
    <cellStyle name="40% - Accent3 5 12 3" xfId="4260"/>
    <cellStyle name="40% - Accent3 5 12 4" xfId="4261"/>
    <cellStyle name="40% - Accent3 5 12 5" xfId="4262"/>
    <cellStyle name="40% - Accent3 5 12 6" xfId="4263"/>
    <cellStyle name="40% - Accent3 5 12 7" xfId="4264"/>
    <cellStyle name="40% - Accent3 5 12 8" xfId="4265"/>
    <cellStyle name="40% - Accent3 5 13" xfId="4266"/>
    <cellStyle name="40% - Accent3 5 13 2" xfId="4267"/>
    <cellStyle name="40% - Accent3 5 13 3" xfId="4268"/>
    <cellStyle name="40% - Accent3 5 13 4" xfId="4269"/>
    <cellStyle name="40% - Accent3 5 13 5" xfId="4270"/>
    <cellStyle name="40% - Accent3 5 13 6" xfId="4271"/>
    <cellStyle name="40% - Accent3 5 13 7" xfId="4272"/>
    <cellStyle name="40% - Accent3 5 13 8" xfId="4273"/>
    <cellStyle name="40% - Accent3 5 14" xfId="4274"/>
    <cellStyle name="40% - Accent3 5 14 2" xfId="4275"/>
    <cellStyle name="40% - Accent3 5 14 3" xfId="4276"/>
    <cellStyle name="40% - Accent3 5 14 4" xfId="4277"/>
    <cellStyle name="40% - Accent3 5 14 5" xfId="4278"/>
    <cellStyle name="40% - Accent3 5 14 6" xfId="4279"/>
    <cellStyle name="40% - Accent3 5 14 7" xfId="4280"/>
    <cellStyle name="40% - Accent3 5 14 8" xfId="4281"/>
    <cellStyle name="40% - Accent3 5 15" xfId="4282"/>
    <cellStyle name="40% - Accent3 5 15 2" xfId="4283"/>
    <cellStyle name="40% - Accent3 5 15 3" xfId="4284"/>
    <cellStyle name="40% - Accent3 5 15 4" xfId="4285"/>
    <cellStyle name="40% - Accent3 5 15 5" xfId="4286"/>
    <cellStyle name="40% - Accent3 5 15 6" xfId="4287"/>
    <cellStyle name="40% - Accent3 5 15 7" xfId="4288"/>
    <cellStyle name="40% - Accent3 5 15 8" xfId="4289"/>
    <cellStyle name="40% - Accent3 5 16" xfId="4290"/>
    <cellStyle name="40% - Accent3 5 16 2" xfId="4291"/>
    <cellStyle name="40% - Accent3 5 16 3" xfId="4292"/>
    <cellStyle name="40% - Accent3 5 16 4" xfId="4293"/>
    <cellStyle name="40% - Accent3 5 16 5" xfId="4294"/>
    <cellStyle name="40% - Accent3 5 16 6" xfId="4295"/>
    <cellStyle name="40% - Accent3 5 16 7" xfId="4296"/>
    <cellStyle name="40% - Accent3 5 16 8" xfId="4297"/>
    <cellStyle name="40% - Accent3 5 17" xfId="4298"/>
    <cellStyle name="40% - Accent3 5 17 2" xfId="4299"/>
    <cellStyle name="40% - Accent3 5 17 3" xfId="4300"/>
    <cellStyle name="40% - Accent3 5 17 4" xfId="4301"/>
    <cellStyle name="40% - Accent3 5 17 5" xfId="4302"/>
    <cellStyle name="40% - Accent3 5 17 6" xfId="4303"/>
    <cellStyle name="40% - Accent3 5 17 7" xfId="4304"/>
    <cellStyle name="40% - Accent3 5 17 8" xfId="4305"/>
    <cellStyle name="40% - Accent3 5 18" xfId="4306"/>
    <cellStyle name="40% - Accent3 5 18 2" xfId="4307"/>
    <cellStyle name="40% - Accent3 5 18 3" xfId="4308"/>
    <cellStyle name="40% - Accent3 5 18 4" xfId="4309"/>
    <cellStyle name="40% - Accent3 5 18 5" xfId="4310"/>
    <cellStyle name="40% - Accent3 5 18 6" xfId="4311"/>
    <cellStyle name="40% - Accent3 5 18 7" xfId="4312"/>
    <cellStyle name="40% - Accent3 5 18 8" xfId="4313"/>
    <cellStyle name="40% - Accent3 5 19" xfId="4314"/>
    <cellStyle name="40% - Accent3 5 2" xfId="4315"/>
    <cellStyle name="40% - Accent3 5 2 2" xfId="4316"/>
    <cellStyle name="40% - Accent3 5 2 3" xfId="4317"/>
    <cellStyle name="40% - Accent3 5 2 4" xfId="4318"/>
    <cellStyle name="40% - Accent3 5 2 5" xfId="4319"/>
    <cellStyle name="40% - Accent3 5 2 6" xfId="4320"/>
    <cellStyle name="40% - Accent3 5 2 7" xfId="4321"/>
    <cellStyle name="40% - Accent3 5 2 8" xfId="4322"/>
    <cellStyle name="40% - Accent3 5 20" xfId="4323"/>
    <cellStyle name="40% - Accent3 5 21" xfId="4324"/>
    <cellStyle name="40% - Accent3 5 22" xfId="4325"/>
    <cellStyle name="40% - Accent3 5 23" xfId="4326"/>
    <cellStyle name="40% - Accent3 5 24" xfId="4327"/>
    <cellStyle name="40% - Accent3 5 25" xfId="4328"/>
    <cellStyle name="40% - Accent3 5 26" xfId="4329"/>
    <cellStyle name="40% - Accent3 5 27" xfId="4330"/>
    <cellStyle name="40% - Accent3 5 28" xfId="4331"/>
    <cellStyle name="40% - Accent3 5 29" xfId="4332"/>
    <cellStyle name="40% - Accent3 5 3" xfId="4333"/>
    <cellStyle name="40% - Accent3 5 3 2" xfId="4334"/>
    <cellStyle name="40% - Accent3 5 3 3" xfId="4335"/>
    <cellStyle name="40% - Accent3 5 3 4" xfId="4336"/>
    <cellStyle name="40% - Accent3 5 3 5" xfId="4337"/>
    <cellStyle name="40% - Accent3 5 3 6" xfId="4338"/>
    <cellStyle name="40% - Accent3 5 3 7" xfId="4339"/>
    <cellStyle name="40% - Accent3 5 3 8" xfId="4340"/>
    <cellStyle name="40% - Accent3 5 30" xfId="4341"/>
    <cellStyle name="40% - Accent3 5 31" xfId="4342"/>
    <cellStyle name="40% - Accent3 5 32" xfId="4343"/>
    <cellStyle name="40% - Accent3 5 33" xfId="4344"/>
    <cellStyle name="40% - Accent3 5 34" xfId="4345"/>
    <cellStyle name="40% - Accent3 5 35" xfId="4346"/>
    <cellStyle name="40% - Accent3 5 4" xfId="4347"/>
    <cellStyle name="40% - Accent3 5 4 2" xfId="4348"/>
    <cellStyle name="40% - Accent3 5 4 3" xfId="4349"/>
    <cellStyle name="40% - Accent3 5 4 4" xfId="4350"/>
    <cellStyle name="40% - Accent3 5 4 5" xfId="4351"/>
    <cellStyle name="40% - Accent3 5 4 6" xfId="4352"/>
    <cellStyle name="40% - Accent3 5 4 7" xfId="4353"/>
    <cellStyle name="40% - Accent3 5 4 8" xfId="4354"/>
    <cellStyle name="40% - Accent3 5 5" xfId="4355"/>
    <cellStyle name="40% - Accent3 5 5 2" xfId="4356"/>
    <cellStyle name="40% - Accent3 5 5 3" xfId="4357"/>
    <cellStyle name="40% - Accent3 5 5 4" xfId="4358"/>
    <cellStyle name="40% - Accent3 5 5 5" xfId="4359"/>
    <cellStyle name="40% - Accent3 5 5 6" xfId="4360"/>
    <cellStyle name="40% - Accent3 5 5 7" xfId="4361"/>
    <cellStyle name="40% - Accent3 5 5 8" xfId="4362"/>
    <cellStyle name="40% - Accent3 5 6" xfId="4363"/>
    <cellStyle name="40% - Accent3 5 6 2" xfId="4364"/>
    <cellStyle name="40% - Accent3 5 6 3" xfId="4365"/>
    <cellStyle name="40% - Accent3 5 6 4" xfId="4366"/>
    <cellStyle name="40% - Accent3 5 6 5" xfId="4367"/>
    <cellStyle name="40% - Accent3 5 6 6" xfId="4368"/>
    <cellStyle name="40% - Accent3 5 6 7" xfId="4369"/>
    <cellStyle name="40% - Accent3 5 6 8" xfId="4370"/>
    <cellStyle name="40% - Accent3 5 7" xfId="4371"/>
    <cellStyle name="40% - Accent3 5 7 2" xfId="4372"/>
    <cellStyle name="40% - Accent3 5 7 3" xfId="4373"/>
    <cellStyle name="40% - Accent3 5 7 4" xfId="4374"/>
    <cellStyle name="40% - Accent3 5 7 5" xfId="4375"/>
    <cellStyle name="40% - Accent3 5 7 6" xfId="4376"/>
    <cellStyle name="40% - Accent3 5 7 7" xfId="4377"/>
    <cellStyle name="40% - Accent3 5 7 8" xfId="4378"/>
    <cellStyle name="40% - Accent3 5 8" xfId="4379"/>
    <cellStyle name="40% - Accent3 5 8 2" xfId="4380"/>
    <cellStyle name="40% - Accent3 5 8 3" xfId="4381"/>
    <cellStyle name="40% - Accent3 5 8 4" xfId="4382"/>
    <cellStyle name="40% - Accent3 5 8 5" xfId="4383"/>
    <cellStyle name="40% - Accent3 5 8 6" xfId="4384"/>
    <cellStyle name="40% - Accent3 5 8 7" xfId="4385"/>
    <cellStyle name="40% - Accent3 5 8 8" xfId="4386"/>
    <cellStyle name="40% - Accent3 5 9" xfId="4387"/>
    <cellStyle name="40% - Accent3 5 9 2" xfId="4388"/>
    <cellStyle name="40% - Accent3 5 9 3" xfId="4389"/>
    <cellStyle name="40% - Accent3 5 9 4" xfId="4390"/>
    <cellStyle name="40% - Accent3 5 9 5" xfId="4391"/>
    <cellStyle name="40% - Accent3 5 9 6" xfId="4392"/>
    <cellStyle name="40% - Accent3 5 9 7" xfId="4393"/>
    <cellStyle name="40% - Accent3 5 9 8" xfId="4394"/>
    <cellStyle name="40% - Accent3 6" xfId="4395"/>
    <cellStyle name="40% - Accent4 2" xfId="4396"/>
    <cellStyle name="40% - Accent4 2 10" xfId="4397"/>
    <cellStyle name="40% - Accent4 2 10 2" xfId="4398"/>
    <cellStyle name="40% - Accent4 2 10 3" xfId="4399"/>
    <cellStyle name="40% - Accent4 2 10 4" xfId="4400"/>
    <cellStyle name="40% - Accent4 2 10 5" xfId="4401"/>
    <cellStyle name="40% - Accent4 2 10 6" xfId="4402"/>
    <cellStyle name="40% - Accent4 2 10 7" xfId="4403"/>
    <cellStyle name="40% - Accent4 2 10 8" xfId="4404"/>
    <cellStyle name="40% - Accent4 2 11" xfId="4405"/>
    <cellStyle name="40% - Accent4 2 11 2" xfId="4406"/>
    <cellStyle name="40% - Accent4 2 11 3" xfId="4407"/>
    <cellStyle name="40% - Accent4 2 11 4" xfId="4408"/>
    <cellStyle name="40% - Accent4 2 11 5" xfId="4409"/>
    <cellStyle name="40% - Accent4 2 11 6" xfId="4410"/>
    <cellStyle name="40% - Accent4 2 11 7" xfId="4411"/>
    <cellStyle name="40% - Accent4 2 11 8" xfId="4412"/>
    <cellStyle name="40% - Accent4 2 12" xfId="4413"/>
    <cellStyle name="40% - Accent4 2 12 2" xfId="4414"/>
    <cellStyle name="40% - Accent4 2 12 3" xfId="4415"/>
    <cellStyle name="40% - Accent4 2 12 4" xfId="4416"/>
    <cellStyle name="40% - Accent4 2 12 5" xfId="4417"/>
    <cellStyle name="40% - Accent4 2 12 6" xfId="4418"/>
    <cellStyle name="40% - Accent4 2 12 7" xfId="4419"/>
    <cellStyle name="40% - Accent4 2 12 8" xfId="4420"/>
    <cellStyle name="40% - Accent4 2 13" xfId="4421"/>
    <cellStyle name="40% - Accent4 2 13 2" xfId="4422"/>
    <cellStyle name="40% - Accent4 2 13 3" xfId="4423"/>
    <cellStyle name="40% - Accent4 2 13 4" xfId="4424"/>
    <cellStyle name="40% - Accent4 2 13 5" xfId="4425"/>
    <cellStyle name="40% - Accent4 2 13 6" xfId="4426"/>
    <cellStyle name="40% - Accent4 2 13 7" xfId="4427"/>
    <cellStyle name="40% - Accent4 2 13 8" xfId="4428"/>
    <cellStyle name="40% - Accent4 2 14" xfId="4429"/>
    <cellStyle name="40% - Accent4 2 14 2" xfId="4430"/>
    <cellStyle name="40% - Accent4 2 14 3" xfId="4431"/>
    <cellStyle name="40% - Accent4 2 14 4" xfId="4432"/>
    <cellStyle name="40% - Accent4 2 14 5" xfId="4433"/>
    <cellStyle name="40% - Accent4 2 14 6" xfId="4434"/>
    <cellStyle name="40% - Accent4 2 14 7" xfId="4435"/>
    <cellStyle name="40% - Accent4 2 14 8" xfId="4436"/>
    <cellStyle name="40% - Accent4 2 15" xfId="4437"/>
    <cellStyle name="40% - Accent4 2 15 2" xfId="4438"/>
    <cellStyle name="40% - Accent4 2 15 3" xfId="4439"/>
    <cellStyle name="40% - Accent4 2 15 4" xfId="4440"/>
    <cellStyle name="40% - Accent4 2 15 5" xfId="4441"/>
    <cellStyle name="40% - Accent4 2 15 6" xfId="4442"/>
    <cellStyle name="40% - Accent4 2 15 7" xfId="4443"/>
    <cellStyle name="40% - Accent4 2 15 8" xfId="4444"/>
    <cellStyle name="40% - Accent4 2 16" xfId="4445"/>
    <cellStyle name="40% - Accent4 2 16 2" xfId="4446"/>
    <cellStyle name="40% - Accent4 2 16 3" xfId="4447"/>
    <cellStyle name="40% - Accent4 2 16 4" xfId="4448"/>
    <cellStyle name="40% - Accent4 2 16 5" xfId="4449"/>
    <cellStyle name="40% - Accent4 2 16 6" xfId="4450"/>
    <cellStyle name="40% - Accent4 2 16 7" xfId="4451"/>
    <cellStyle name="40% - Accent4 2 16 8" xfId="4452"/>
    <cellStyle name="40% - Accent4 2 17" xfId="4453"/>
    <cellStyle name="40% - Accent4 2 17 2" xfId="4454"/>
    <cellStyle name="40% - Accent4 2 17 3" xfId="4455"/>
    <cellStyle name="40% - Accent4 2 17 4" xfId="4456"/>
    <cellStyle name="40% - Accent4 2 17 5" xfId="4457"/>
    <cellStyle name="40% - Accent4 2 17 6" xfId="4458"/>
    <cellStyle name="40% - Accent4 2 17 7" xfId="4459"/>
    <cellStyle name="40% - Accent4 2 17 8" xfId="4460"/>
    <cellStyle name="40% - Accent4 2 18" xfId="4461"/>
    <cellStyle name="40% - Accent4 2 18 2" xfId="4462"/>
    <cellStyle name="40% - Accent4 2 18 3" xfId="4463"/>
    <cellStyle name="40% - Accent4 2 18 4" xfId="4464"/>
    <cellStyle name="40% - Accent4 2 18 5" xfId="4465"/>
    <cellStyle name="40% - Accent4 2 18 6" xfId="4466"/>
    <cellStyle name="40% - Accent4 2 18 7" xfId="4467"/>
    <cellStyle name="40% - Accent4 2 18 8" xfId="4468"/>
    <cellStyle name="40% - Accent4 2 19" xfId="4469"/>
    <cellStyle name="40% - Accent4 2 2" xfId="4470"/>
    <cellStyle name="40% - Accent4 2 2 2" xfId="4471"/>
    <cellStyle name="40% - Accent4 2 2 3" xfId="4472"/>
    <cellStyle name="40% - Accent4 2 2 4" xfId="4473"/>
    <cellStyle name="40% - Accent4 2 2 5" xfId="4474"/>
    <cellStyle name="40% - Accent4 2 2 6" xfId="4475"/>
    <cellStyle name="40% - Accent4 2 2 7" xfId="4476"/>
    <cellStyle name="40% - Accent4 2 2 8" xfId="4477"/>
    <cellStyle name="40% - Accent4 2 20" xfId="4478"/>
    <cellStyle name="40% - Accent4 2 21" xfId="4479"/>
    <cellStyle name="40% - Accent4 2 22" xfId="4480"/>
    <cellStyle name="40% - Accent4 2 23" xfId="4481"/>
    <cellStyle name="40% - Accent4 2 24" xfId="4482"/>
    <cellStyle name="40% - Accent4 2 25" xfId="4483"/>
    <cellStyle name="40% - Accent4 2 26" xfId="4484"/>
    <cellStyle name="40% - Accent4 2 27" xfId="4485"/>
    <cellStyle name="40% - Accent4 2 28" xfId="4486"/>
    <cellStyle name="40% - Accent4 2 29" xfId="4487"/>
    <cellStyle name="40% - Accent4 2 3" xfId="4488"/>
    <cellStyle name="40% - Accent4 2 3 2" xfId="4489"/>
    <cellStyle name="40% - Accent4 2 3 3" xfId="4490"/>
    <cellStyle name="40% - Accent4 2 3 4" xfId="4491"/>
    <cellStyle name="40% - Accent4 2 3 5" xfId="4492"/>
    <cellStyle name="40% - Accent4 2 3 6" xfId="4493"/>
    <cellStyle name="40% - Accent4 2 3 7" xfId="4494"/>
    <cellStyle name="40% - Accent4 2 3 8" xfId="4495"/>
    <cellStyle name="40% - Accent4 2 30" xfId="4496"/>
    <cellStyle name="40% - Accent4 2 31" xfId="4497"/>
    <cellStyle name="40% - Accent4 2 32" xfId="4498"/>
    <cellStyle name="40% - Accent4 2 33" xfId="4499"/>
    <cellStyle name="40% - Accent4 2 34" xfId="4500"/>
    <cellStyle name="40% - Accent4 2 35" xfId="4501"/>
    <cellStyle name="40% - Accent4 2 36" xfId="4502"/>
    <cellStyle name="40% - Accent4 2 37" xfId="4503"/>
    <cellStyle name="40% - Accent4 2 38" xfId="4504"/>
    <cellStyle name="40% - Accent4 2 4" xfId="4505"/>
    <cellStyle name="40% - Accent4 2 4 2" xfId="4506"/>
    <cellStyle name="40% - Accent4 2 4 3" xfId="4507"/>
    <cellStyle name="40% - Accent4 2 4 4" xfId="4508"/>
    <cellStyle name="40% - Accent4 2 4 5" xfId="4509"/>
    <cellStyle name="40% - Accent4 2 4 6" xfId="4510"/>
    <cellStyle name="40% - Accent4 2 4 7" xfId="4511"/>
    <cellStyle name="40% - Accent4 2 4 8" xfId="4512"/>
    <cellStyle name="40% - Accent4 2 5" xfId="4513"/>
    <cellStyle name="40% - Accent4 2 5 2" xfId="4514"/>
    <cellStyle name="40% - Accent4 2 5 3" xfId="4515"/>
    <cellStyle name="40% - Accent4 2 5 4" xfId="4516"/>
    <cellStyle name="40% - Accent4 2 5 5" xfId="4517"/>
    <cellStyle name="40% - Accent4 2 5 6" xfId="4518"/>
    <cellStyle name="40% - Accent4 2 5 7" xfId="4519"/>
    <cellStyle name="40% - Accent4 2 5 8" xfId="4520"/>
    <cellStyle name="40% - Accent4 2 6" xfId="4521"/>
    <cellStyle name="40% - Accent4 2 6 2" xfId="4522"/>
    <cellStyle name="40% - Accent4 2 6 3" xfId="4523"/>
    <cellStyle name="40% - Accent4 2 6 4" xfId="4524"/>
    <cellStyle name="40% - Accent4 2 6 5" xfId="4525"/>
    <cellStyle name="40% - Accent4 2 6 6" xfId="4526"/>
    <cellStyle name="40% - Accent4 2 6 7" xfId="4527"/>
    <cellStyle name="40% - Accent4 2 6 8" xfId="4528"/>
    <cellStyle name="40% - Accent4 2 7" xfId="4529"/>
    <cellStyle name="40% - Accent4 2 7 2" xfId="4530"/>
    <cellStyle name="40% - Accent4 2 7 3" xfId="4531"/>
    <cellStyle name="40% - Accent4 2 7 4" xfId="4532"/>
    <cellStyle name="40% - Accent4 2 7 5" xfId="4533"/>
    <cellStyle name="40% - Accent4 2 7 6" xfId="4534"/>
    <cellStyle name="40% - Accent4 2 7 7" xfId="4535"/>
    <cellStyle name="40% - Accent4 2 7 8" xfId="4536"/>
    <cellStyle name="40% - Accent4 2 8" xfId="4537"/>
    <cellStyle name="40% - Accent4 2 8 2" xfId="4538"/>
    <cellStyle name="40% - Accent4 2 8 3" xfId="4539"/>
    <cellStyle name="40% - Accent4 2 8 4" xfId="4540"/>
    <cellStyle name="40% - Accent4 2 8 5" xfId="4541"/>
    <cellStyle name="40% - Accent4 2 8 6" xfId="4542"/>
    <cellStyle name="40% - Accent4 2 8 7" xfId="4543"/>
    <cellStyle name="40% - Accent4 2 8 8" xfId="4544"/>
    <cellStyle name="40% - Accent4 2 9" xfId="4545"/>
    <cellStyle name="40% - Accent4 2 9 2" xfId="4546"/>
    <cellStyle name="40% - Accent4 2 9 3" xfId="4547"/>
    <cellStyle name="40% - Accent4 2 9 4" xfId="4548"/>
    <cellStyle name="40% - Accent4 2 9 5" xfId="4549"/>
    <cellStyle name="40% - Accent4 2 9 6" xfId="4550"/>
    <cellStyle name="40% - Accent4 2 9 7" xfId="4551"/>
    <cellStyle name="40% - Accent4 2 9 8" xfId="4552"/>
    <cellStyle name="40% - Accent4 3" xfId="4553"/>
    <cellStyle name="40% - Accent4 3 10" xfId="4554"/>
    <cellStyle name="40% - Accent4 3 10 2" xfId="4555"/>
    <cellStyle name="40% - Accent4 3 10 3" xfId="4556"/>
    <cellStyle name="40% - Accent4 3 10 4" xfId="4557"/>
    <cellStyle name="40% - Accent4 3 10 5" xfId="4558"/>
    <cellStyle name="40% - Accent4 3 10 6" xfId="4559"/>
    <cellStyle name="40% - Accent4 3 10 7" xfId="4560"/>
    <cellStyle name="40% - Accent4 3 10 8" xfId="4561"/>
    <cellStyle name="40% - Accent4 3 11" xfId="4562"/>
    <cellStyle name="40% - Accent4 3 11 2" xfId="4563"/>
    <cellStyle name="40% - Accent4 3 11 3" xfId="4564"/>
    <cellStyle name="40% - Accent4 3 11 4" xfId="4565"/>
    <cellStyle name="40% - Accent4 3 11 5" xfId="4566"/>
    <cellStyle name="40% - Accent4 3 11 6" xfId="4567"/>
    <cellStyle name="40% - Accent4 3 11 7" xfId="4568"/>
    <cellStyle name="40% - Accent4 3 11 8" xfId="4569"/>
    <cellStyle name="40% - Accent4 3 12" xfId="4570"/>
    <cellStyle name="40% - Accent4 3 12 2" xfId="4571"/>
    <cellStyle name="40% - Accent4 3 12 3" xfId="4572"/>
    <cellStyle name="40% - Accent4 3 12 4" xfId="4573"/>
    <cellStyle name="40% - Accent4 3 12 5" xfId="4574"/>
    <cellStyle name="40% - Accent4 3 12 6" xfId="4575"/>
    <cellStyle name="40% - Accent4 3 12 7" xfId="4576"/>
    <cellStyle name="40% - Accent4 3 12 8" xfId="4577"/>
    <cellStyle name="40% - Accent4 3 13" xfId="4578"/>
    <cellStyle name="40% - Accent4 3 13 2" xfId="4579"/>
    <cellStyle name="40% - Accent4 3 13 3" xfId="4580"/>
    <cellStyle name="40% - Accent4 3 13 4" xfId="4581"/>
    <cellStyle name="40% - Accent4 3 13 5" xfId="4582"/>
    <cellStyle name="40% - Accent4 3 13 6" xfId="4583"/>
    <cellStyle name="40% - Accent4 3 13 7" xfId="4584"/>
    <cellStyle name="40% - Accent4 3 13 8" xfId="4585"/>
    <cellStyle name="40% - Accent4 3 14" xfId="4586"/>
    <cellStyle name="40% - Accent4 3 14 2" xfId="4587"/>
    <cellStyle name="40% - Accent4 3 14 3" xfId="4588"/>
    <cellStyle name="40% - Accent4 3 14 4" xfId="4589"/>
    <cellStyle name="40% - Accent4 3 14 5" xfId="4590"/>
    <cellStyle name="40% - Accent4 3 14 6" xfId="4591"/>
    <cellStyle name="40% - Accent4 3 14 7" xfId="4592"/>
    <cellStyle name="40% - Accent4 3 14 8" xfId="4593"/>
    <cellStyle name="40% - Accent4 3 15" xfId="4594"/>
    <cellStyle name="40% - Accent4 3 15 2" xfId="4595"/>
    <cellStyle name="40% - Accent4 3 15 3" xfId="4596"/>
    <cellStyle name="40% - Accent4 3 15 4" xfId="4597"/>
    <cellStyle name="40% - Accent4 3 15 5" xfId="4598"/>
    <cellStyle name="40% - Accent4 3 15 6" xfId="4599"/>
    <cellStyle name="40% - Accent4 3 15 7" xfId="4600"/>
    <cellStyle name="40% - Accent4 3 15 8" xfId="4601"/>
    <cellStyle name="40% - Accent4 3 16" xfId="4602"/>
    <cellStyle name="40% - Accent4 3 16 2" xfId="4603"/>
    <cellStyle name="40% - Accent4 3 16 3" xfId="4604"/>
    <cellStyle name="40% - Accent4 3 16 4" xfId="4605"/>
    <cellStyle name="40% - Accent4 3 16 5" xfId="4606"/>
    <cellStyle name="40% - Accent4 3 16 6" xfId="4607"/>
    <cellStyle name="40% - Accent4 3 16 7" xfId="4608"/>
    <cellStyle name="40% - Accent4 3 16 8" xfId="4609"/>
    <cellStyle name="40% - Accent4 3 17" xfId="4610"/>
    <cellStyle name="40% - Accent4 3 17 2" xfId="4611"/>
    <cellStyle name="40% - Accent4 3 17 3" xfId="4612"/>
    <cellStyle name="40% - Accent4 3 17 4" xfId="4613"/>
    <cellStyle name="40% - Accent4 3 17 5" xfId="4614"/>
    <cellStyle name="40% - Accent4 3 17 6" xfId="4615"/>
    <cellStyle name="40% - Accent4 3 17 7" xfId="4616"/>
    <cellStyle name="40% - Accent4 3 17 8" xfId="4617"/>
    <cellStyle name="40% - Accent4 3 18" xfId="4618"/>
    <cellStyle name="40% - Accent4 3 18 2" xfId="4619"/>
    <cellStyle name="40% - Accent4 3 18 3" xfId="4620"/>
    <cellStyle name="40% - Accent4 3 18 4" xfId="4621"/>
    <cellStyle name="40% - Accent4 3 18 5" xfId="4622"/>
    <cellStyle name="40% - Accent4 3 18 6" xfId="4623"/>
    <cellStyle name="40% - Accent4 3 18 7" xfId="4624"/>
    <cellStyle name="40% - Accent4 3 18 8" xfId="4625"/>
    <cellStyle name="40% - Accent4 3 19" xfId="4626"/>
    <cellStyle name="40% - Accent4 3 2" xfId="4627"/>
    <cellStyle name="40% - Accent4 3 2 2" xfId="4628"/>
    <cellStyle name="40% - Accent4 3 2 3" xfId="4629"/>
    <cellStyle name="40% - Accent4 3 2 4" xfId="4630"/>
    <cellStyle name="40% - Accent4 3 2 5" xfId="4631"/>
    <cellStyle name="40% - Accent4 3 2 6" xfId="4632"/>
    <cellStyle name="40% - Accent4 3 2 7" xfId="4633"/>
    <cellStyle name="40% - Accent4 3 2 8" xfId="4634"/>
    <cellStyle name="40% - Accent4 3 20" xfId="4635"/>
    <cellStyle name="40% - Accent4 3 21" xfId="4636"/>
    <cellStyle name="40% - Accent4 3 22" xfId="4637"/>
    <cellStyle name="40% - Accent4 3 23" xfId="4638"/>
    <cellStyle name="40% - Accent4 3 24" xfId="4639"/>
    <cellStyle name="40% - Accent4 3 25" xfId="4640"/>
    <cellStyle name="40% - Accent4 3 26" xfId="4641"/>
    <cellStyle name="40% - Accent4 3 27" xfId="4642"/>
    <cellStyle name="40% - Accent4 3 28" xfId="4643"/>
    <cellStyle name="40% - Accent4 3 29" xfId="4644"/>
    <cellStyle name="40% - Accent4 3 3" xfId="4645"/>
    <cellStyle name="40% - Accent4 3 3 2" xfId="4646"/>
    <cellStyle name="40% - Accent4 3 3 3" xfId="4647"/>
    <cellStyle name="40% - Accent4 3 3 4" xfId="4648"/>
    <cellStyle name="40% - Accent4 3 3 5" xfId="4649"/>
    <cellStyle name="40% - Accent4 3 3 6" xfId="4650"/>
    <cellStyle name="40% - Accent4 3 3 7" xfId="4651"/>
    <cellStyle name="40% - Accent4 3 3 8" xfId="4652"/>
    <cellStyle name="40% - Accent4 3 30" xfId="4653"/>
    <cellStyle name="40% - Accent4 3 31" xfId="4654"/>
    <cellStyle name="40% - Accent4 3 32" xfId="4655"/>
    <cellStyle name="40% - Accent4 3 33" xfId="4656"/>
    <cellStyle name="40% - Accent4 3 34" xfId="4657"/>
    <cellStyle name="40% - Accent4 3 35" xfId="4658"/>
    <cellStyle name="40% - Accent4 3 4" xfId="4659"/>
    <cellStyle name="40% - Accent4 3 4 2" xfId="4660"/>
    <cellStyle name="40% - Accent4 3 4 3" xfId="4661"/>
    <cellStyle name="40% - Accent4 3 4 4" xfId="4662"/>
    <cellStyle name="40% - Accent4 3 4 5" xfId="4663"/>
    <cellStyle name="40% - Accent4 3 4 6" xfId="4664"/>
    <cellStyle name="40% - Accent4 3 4 7" xfId="4665"/>
    <cellStyle name="40% - Accent4 3 4 8" xfId="4666"/>
    <cellStyle name="40% - Accent4 3 5" xfId="4667"/>
    <cellStyle name="40% - Accent4 3 5 2" xfId="4668"/>
    <cellStyle name="40% - Accent4 3 5 3" xfId="4669"/>
    <cellStyle name="40% - Accent4 3 5 4" xfId="4670"/>
    <cellStyle name="40% - Accent4 3 5 5" xfId="4671"/>
    <cellStyle name="40% - Accent4 3 5 6" xfId="4672"/>
    <cellStyle name="40% - Accent4 3 5 7" xfId="4673"/>
    <cellStyle name="40% - Accent4 3 5 8" xfId="4674"/>
    <cellStyle name="40% - Accent4 3 6" xfId="4675"/>
    <cellStyle name="40% - Accent4 3 6 2" xfId="4676"/>
    <cellStyle name="40% - Accent4 3 6 3" xfId="4677"/>
    <cellStyle name="40% - Accent4 3 6 4" xfId="4678"/>
    <cellStyle name="40% - Accent4 3 6 5" xfId="4679"/>
    <cellStyle name="40% - Accent4 3 6 6" xfId="4680"/>
    <cellStyle name="40% - Accent4 3 6 7" xfId="4681"/>
    <cellStyle name="40% - Accent4 3 6 8" xfId="4682"/>
    <cellStyle name="40% - Accent4 3 7" xfId="4683"/>
    <cellStyle name="40% - Accent4 3 7 2" xfId="4684"/>
    <cellStyle name="40% - Accent4 3 7 3" xfId="4685"/>
    <cellStyle name="40% - Accent4 3 7 4" xfId="4686"/>
    <cellStyle name="40% - Accent4 3 7 5" xfId="4687"/>
    <cellStyle name="40% - Accent4 3 7 6" xfId="4688"/>
    <cellStyle name="40% - Accent4 3 7 7" xfId="4689"/>
    <cellStyle name="40% - Accent4 3 7 8" xfId="4690"/>
    <cellStyle name="40% - Accent4 3 8" xfId="4691"/>
    <cellStyle name="40% - Accent4 3 8 2" xfId="4692"/>
    <cellStyle name="40% - Accent4 3 8 3" xfId="4693"/>
    <cellStyle name="40% - Accent4 3 8 4" xfId="4694"/>
    <cellStyle name="40% - Accent4 3 8 5" xfId="4695"/>
    <cellStyle name="40% - Accent4 3 8 6" xfId="4696"/>
    <cellStyle name="40% - Accent4 3 8 7" xfId="4697"/>
    <cellStyle name="40% - Accent4 3 8 8" xfId="4698"/>
    <cellStyle name="40% - Accent4 3 9" xfId="4699"/>
    <cellStyle name="40% - Accent4 3 9 2" xfId="4700"/>
    <cellStyle name="40% - Accent4 3 9 3" xfId="4701"/>
    <cellStyle name="40% - Accent4 3 9 4" xfId="4702"/>
    <cellStyle name="40% - Accent4 3 9 5" xfId="4703"/>
    <cellStyle name="40% - Accent4 3 9 6" xfId="4704"/>
    <cellStyle name="40% - Accent4 3 9 7" xfId="4705"/>
    <cellStyle name="40% - Accent4 3 9 8" xfId="4706"/>
    <cellStyle name="40% - Accent4 4" xfId="4707"/>
    <cellStyle name="40% - Accent4 4 10" xfId="4708"/>
    <cellStyle name="40% - Accent4 4 10 2" xfId="4709"/>
    <cellStyle name="40% - Accent4 4 10 3" xfId="4710"/>
    <cellStyle name="40% - Accent4 4 10 4" xfId="4711"/>
    <cellStyle name="40% - Accent4 4 10 5" xfId="4712"/>
    <cellStyle name="40% - Accent4 4 10 6" xfId="4713"/>
    <cellStyle name="40% - Accent4 4 10 7" xfId="4714"/>
    <cellStyle name="40% - Accent4 4 10 8" xfId="4715"/>
    <cellStyle name="40% - Accent4 4 11" xfId="4716"/>
    <cellStyle name="40% - Accent4 4 11 2" xfId="4717"/>
    <cellStyle name="40% - Accent4 4 11 3" xfId="4718"/>
    <cellStyle name="40% - Accent4 4 11 4" xfId="4719"/>
    <cellStyle name="40% - Accent4 4 11 5" xfId="4720"/>
    <cellStyle name="40% - Accent4 4 11 6" xfId="4721"/>
    <cellStyle name="40% - Accent4 4 11 7" xfId="4722"/>
    <cellStyle name="40% - Accent4 4 11 8" xfId="4723"/>
    <cellStyle name="40% - Accent4 4 12" xfId="4724"/>
    <cellStyle name="40% - Accent4 4 12 2" xfId="4725"/>
    <cellStyle name="40% - Accent4 4 12 3" xfId="4726"/>
    <cellStyle name="40% - Accent4 4 12 4" xfId="4727"/>
    <cellStyle name="40% - Accent4 4 12 5" xfId="4728"/>
    <cellStyle name="40% - Accent4 4 12 6" xfId="4729"/>
    <cellStyle name="40% - Accent4 4 12 7" xfId="4730"/>
    <cellStyle name="40% - Accent4 4 12 8" xfId="4731"/>
    <cellStyle name="40% - Accent4 4 13" xfId="4732"/>
    <cellStyle name="40% - Accent4 4 13 2" xfId="4733"/>
    <cellStyle name="40% - Accent4 4 13 3" xfId="4734"/>
    <cellStyle name="40% - Accent4 4 13 4" xfId="4735"/>
    <cellStyle name="40% - Accent4 4 13 5" xfId="4736"/>
    <cellStyle name="40% - Accent4 4 13 6" xfId="4737"/>
    <cellStyle name="40% - Accent4 4 13 7" xfId="4738"/>
    <cellStyle name="40% - Accent4 4 13 8" xfId="4739"/>
    <cellStyle name="40% - Accent4 4 14" xfId="4740"/>
    <cellStyle name="40% - Accent4 4 14 2" xfId="4741"/>
    <cellStyle name="40% - Accent4 4 14 3" xfId="4742"/>
    <cellStyle name="40% - Accent4 4 14 4" xfId="4743"/>
    <cellStyle name="40% - Accent4 4 14 5" xfId="4744"/>
    <cellStyle name="40% - Accent4 4 14 6" xfId="4745"/>
    <cellStyle name="40% - Accent4 4 14 7" xfId="4746"/>
    <cellStyle name="40% - Accent4 4 14 8" xfId="4747"/>
    <cellStyle name="40% - Accent4 4 15" xfId="4748"/>
    <cellStyle name="40% - Accent4 4 15 2" xfId="4749"/>
    <cellStyle name="40% - Accent4 4 15 3" xfId="4750"/>
    <cellStyle name="40% - Accent4 4 15 4" xfId="4751"/>
    <cellStyle name="40% - Accent4 4 15 5" xfId="4752"/>
    <cellStyle name="40% - Accent4 4 15 6" xfId="4753"/>
    <cellStyle name="40% - Accent4 4 15 7" xfId="4754"/>
    <cellStyle name="40% - Accent4 4 15 8" xfId="4755"/>
    <cellStyle name="40% - Accent4 4 16" xfId="4756"/>
    <cellStyle name="40% - Accent4 4 16 2" xfId="4757"/>
    <cellStyle name="40% - Accent4 4 16 3" xfId="4758"/>
    <cellStyle name="40% - Accent4 4 16 4" xfId="4759"/>
    <cellStyle name="40% - Accent4 4 16 5" xfId="4760"/>
    <cellStyle name="40% - Accent4 4 16 6" xfId="4761"/>
    <cellStyle name="40% - Accent4 4 16 7" xfId="4762"/>
    <cellStyle name="40% - Accent4 4 16 8" xfId="4763"/>
    <cellStyle name="40% - Accent4 4 17" xfId="4764"/>
    <cellStyle name="40% - Accent4 4 17 2" xfId="4765"/>
    <cellStyle name="40% - Accent4 4 17 3" xfId="4766"/>
    <cellStyle name="40% - Accent4 4 17 4" xfId="4767"/>
    <cellStyle name="40% - Accent4 4 17 5" xfId="4768"/>
    <cellStyle name="40% - Accent4 4 17 6" xfId="4769"/>
    <cellStyle name="40% - Accent4 4 17 7" xfId="4770"/>
    <cellStyle name="40% - Accent4 4 17 8" xfId="4771"/>
    <cellStyle name="40% - Accent4 4 18" xfId="4772"/>
    <cellStyle name="40% - Accent4 4 18 2" xfId="4773"/>
    <cellStyle name="40% - Accent4 4 18 3" xfId="4774"/>
    <cellStyle name="40% - Accent4 4 18 4" xfId="4775"/>
    <cellStyle name="40% - Accent4 4 18 5" xfId="4776"/>
    <cellStyle name="40% - Accent4 4 18 6" xfId="4777"/>
    <cellStyle name="40% - Accent4 4 18 7" xfId="4778"/>
    <cellStyle name="40% - Accent4 4 18 8" xfId="4779"/>
    <cellStyle name="40% - Accent4 4 19" xfId="4780"/>
    <cellStyle name="40% - Accent4 4 2" xfId="4781"/>
    <cellStyle name="40% - Accent4 4 2 2" xfId="4782"/>
    <cellStyle name="40% - Accent4 4 2 3" xfId="4783"/>
    <cellStyle name="40% - Accent4 4 2 4" xfId="4784"/>
    <cellStyle name="40% - Accent4 4 2 5" xfId="4785"/>
    <cellStyle name="40% - Accent4 4 2 6" xfId="4786"/>
    <cellStyle name="40% - Accent4 4 2 7" xfId="4787"/>
    <cellStyle name="40% - Accent4 4 2 8" xfId="4788"/>
    <cellStyle name="40% - Accent4 4 20" xfId="4789"/>
    <cellStyle name="40% - Accent4 4 21" xfId="4790"/>
    <cellStyle name="40% - Accent4 4 22" xfId="4791"/>
    <cellStyle name="40% - Accent4 4 23" xfId="4792"/>
    <cellStyle name="40% - Accent4 4 24" xfId="4793"/>
    <cellStyle name="40% - Accent4 4 25" xfId="4794"/>
    <cellStyle name="40% - Accent4 4 26" xfId="4795"/>
    <cellStyle name="40% - Accent4 4 27" xfId="4796"/>
    <cellStyle name="40% - Accent4 4 28" xfId="4797"/>
    <cellStyle name="40% - Accent4 4 29" xfId="4798"/>
    <cellStyle name="40% - Accent4 4 3" xfId="4799"/>
    <cellStyle name="40% - Accent4 4 3 2" xfId="4800"/>
    <cellStyle name="40% - Accent4 4 3 3" xfId="4801"/>
    <cellStyle name="40% - Accent4 4 3 4" xfId="4802"/>
    <cellStyle name="40% - Accent4 4 3 5" xfId="4803"/>
    <cellStyle name="40% - Accent4 4 3 6" xfId="4804"/>
    <cellStyle name="40% - Accent4 4 3 7" xfId="4805"/>
    <cellStyle name="40% - Accent4 4 3 8" xfId="4806"/>
    <cellStyle name="40% - Accent4 4 30" xfId="4807"/>
    <cellStyle name="40% - Accent4 4 31" xfId="4808"/>
    <cellStyle name="40% - Accent4 4 32" xfId="4809"/>
    <cellStyle name="40% - Accent4 4 33" xfId="4810"/>
    <cellStyle name="40% - Accent4 4 34" xfId="4811"/>
    <cellStyle name="40% - Accent4 4 35" xfId="4812"/>
    <cellStyle name="40% - Accent4 4 4" xfId="4813"/>
    <cellStyle name="40% - Accent4 4 4 2" xfId="4814"/>
    <cellStyle name="40% - Accent4 4 4 3" xfId="4815"/>
    <cellStyle name="40% - Accent4 4 4 4" xfId="4816"/>
    <cellStyle name="40% - Accent4 4 4 5" xfId="4817"/>
    <cellStyle name="40% - Accent4 4 4 6" xfId="4818"/>
    <cellStyle name="40% - Accent4 4 4 7" xfId="4819"/>
    <cellStyle name="40% - Accent4 4 4 8" xfId="4820"/>
    <cellStyle name="40% - Accent4 4 5" xfId="4821"/>
    <cellStyle name="40% - Accent4 4 5 2" xfId="4822"/>
    <cellStyle name="40% - Accent4 4 5 3" xfId="4823"/>
    <cellStyle name="40% - Accent4 4 5 4" xfId="4824"/>
    <cellStyle name="40% - Accent4 4 5 5" xfId="4825"/>
    <cellStyle name="40% - Accent4 4 5 6" xfId="4826"/>
    <cellStyle name="40% - Accent4 4 5 7" xfId="4827"/>
    <cellStyle name="40% - Accent4 4 5 8" xfId="4828"/>
    <cellStyle name="40% - Accent4 4 6" xfId="4829"/>
    <cellStyle name="40% - Accent4 4 6 2" xfId="4830"/>
    <cellStyle name="40% - Accent4 4 6 3" xfId="4831"/>
    <cellStyle name="40% - Accent4 4 6 4" xfId="4832"/>
    <cellStyle name="40% - Accent4 4 6 5" xfId="4833"/>
    <cellStyle name="40% - Accent4 4 6 6" xfId="4834"/>
    <cellStyle name="40% - Accent4 4 6 7" xfId="4835"/>
    <cellStyle name="40% - Accent4 4 6 8" xfId="4836"/>
    <cellStyle name="40% - Accent4 4 7" xfId="4837"/>
    <cellStyle name="40% - Accent4 4 7 2" xfId="4838"/>
    <cellStyle name="40% - Accent4 4 7 3" xfId="4839"/>
    <cellStyle name="40% - Accent4 4 7 4" xfId="4840"/>
    <cellStyle name="40% - Accent4 4 7 5" xfId="4841"/>
    <cellStyle name="40% - Accent4 4 7 6" xfId="4842"/>
    <cellStyle name="40% - Accent4 4 7 7" xfId="4843"/>
    <cellStyle name="40% - Accent4 4 7 8" xfId="4844"/>
    <cellStyle name="40% - Accent4 4 8" xfId="4845"/>
    <cellStyle name="40% - Accent4 4 8 2" xfId="4846"/>
    <cellStyle name="40% - Accent4 4 8 3" xfId="4847"/>
    <cellStyle name="40% - Accent4 4 8 4" xfId="4848"/>
    <cellStyle name="40% - Accent4 4 8 5" xfId="4849"/>
    <cellStyle name="40% - Accent4 4 8 6" xfId="4850"/>
    <cellStyle name="40% - Accent4 4 8 7" xfId="4851"/>
    <cellStyle name="40% - Accent4 4 8 8" xfId="4852"/>
    <cellStyle name="40% - Accent4 4 9" xfId="4853"/>
    <cellStyle name="40% - Accent4 4 9 2" xfId="4854"/>
    <cellStyle name="40% - Accent4 4 9 3" xfId="4855"/>
    <cellStyle name="40% - Accent4 4 9 4" xfId="4856"/>
    <cellStyle name="40% - Accent4 4 9 5" xfId="4857"/>
    <cellStyle name="40% - Accent4 4 9 6" xfId="4858"/>
    <cellStyle name="40% - Accent4 4 9 7" xfId="4859"/>
    <cellStyle name="40% - Accent4 4 9 8" xfId="4860"/>
    <cellStyle name="40% - Accent4 5" xfId="4861"/>
    <cellStyle name="40% - Accent4 5 10" xfId="4862"/>
    <cellStyle name="40% - Accent4 5 10 2" xfId="4863"/>
    <cellStyle name="40% - Accent4 5 10 3" xfId="4864"/>
    <cellStyle name="40% - Accent4 5 10 4" xfId="4865"/>
    <cellStyle name="40% - Accent4 5 10 5" xfId="4866"/>
    <cellStyle name="40% - Accent4 5 10 6" xfId="4867"/>
    <cellStyle name="40% - Accent4 5 10 7" xfId="4868"/>
    <cellStyle name="40% - Accent4 5 10 8" xfId="4869"/>
    <cellStyle name="40% - Accent4 5 11" xfId="4870"/>
    <cellStyle name="40% - Accent4 5 11 2" xfId="4871"/>
    <cellStyle name="40% - Accent4 5 11 3" xfId="4872"/>
    <cellStyle name="40% - Accent4 5 11 4" xfId="4873"/>
    <cellStyle name="40% - Accent4 5 11 5" xfId="4874"/>
    <cellStyle name="40% - Accent4 5 11 6" xfId="4875"/>
    <cellStyle name="40% - Accent4 5 11 7" xfId="4876"/>
    <cellStyle name="40% - Accent4 5 11 8" xfId="4877"/>
    <cellStyle name="40% - Accent4 5 12" xfId="4878"/>
    <cellStyle name="40% - Accent4 5 12 2" xfId="4879"/>
    <cellStyle name="40% - Accent4 5 12 3" xfId="4880"/>
    <cellStyle name="40% - Accent4 5 12 4" xfId="4881"/>
    <cellStyle name="40% - Accent4 5 12 5" xfId="4882"/>
    <cellStyle name="40% - Accent4 5 12 6" xfId="4883"/>
    <cellStyle name="40% - Accent4 5 12 7" xfId="4884"/>
    <cellStyle name="40% - Accent4 5 12 8" xfId="4885"/>
    <cellStyle name="40% - Accent4 5 13" xfId="4886"/>
    <cellStyle name="40% - Accent4 5 13 2" xfId="4887"/>
    <cellStyle name="40% - Accent4 5 13 3" xfId="4888"/>
    <cellStyle name="40% - Accent4 5 13 4" xfId="4889"/>
    <cellStyle name="40% - Accent4 5 13 5" xfId="4890"/>
    <cellStyle name="40% - Accent4 5 13 6" xfId="4891"/>
    <cellStyle name="40% - Accent4 5 13 7" xfId="4892"/>
    <cellStyle name="40% - Accent4 5 13 8" xfId="4893"/>
    <cellStyle name="40% - Accent4 5 14" xfId="4894"/>
    <cellStyle name="40% - Accent4 5 14 2" xfId="4895"/>
    <cellStyle name="40% - Accent4 5 14 3" xfId="4896"/>
    <cellStyle name="40% - Accent4 5 14 4" xfId="4897"/>
    <cellStyle name="40% - Accent4 5 14 5" xfId="4898"/>
    <cellStyle name="40% - Accent4 5 14 6" xfId="4899"/>
    <cellStyle name="40% - Accent4 5 14 7" xfId="4900"/>
    <cellStyle name="40% - Accent4 5 14 8" xfId="4901"/>
    <cellStyle name="40% - Accent4 5 15" xfId="4902"/>
    <cellStyle name="40% - Accent4 5 15 2" xfId="4903"/>
    <cellStyle name="40% - Accent4 5 15 3" xfId="4904"/>
    <cellStyle name="40% - Accent4 5 15 4" xfId="4905"/>
    <cellStyle name="40% - Accent4 5 15 5" xfId="4906"/>
    <cellStyle name="40% - Accent4 5 15 6" xfId="4907"/>
    <cellStyle name="40% - Accent4 5 15 7" xfId="4908"/>
    <cellStyle name="40% - Accent4 5 15 8" xfId="4909"/>
    <cellStyle name="40% - Accent4 5 16" xfId="4910"/>
    <cellStyle name="40% - Accent4 5 16 2" xfId="4911"/>
    <cellStyle name="40% - Accent4 5 16 3" xfId="4912"/>
    <cellStyle name="40% - Accent4 5 16 4" xfId="4913"/>
    <cellStyle name="40% - Accent4 5 16 5" xfId="4914"/>
    <cellStyle name="40% - Accent4 5 16 6" xfId="4915"/>
    <cellStyle name="40% - Accent4 5 16 7" xfId="4916"/>
    <cellStyle name="40% - Accent4 5 16 8" xfId="4917"/>
    <cellStyle name="40% - Accent4 5 17" xfId="4918"/>
    <cellStyle name="40% - Accent4 5 17 2" xfId="4919"/>
    <cellStyle name="40% - Accent4 5 17 3" xfId="4920"/>
    <cellStyle name="40% - Accent4 5 17 4" xfId="4921"/>
    <cellStyle name="40% - Accent4 5 17 5" xfId="4922"/>
    <cellStyle name="40% - Accent4 5 17 6" xfId="4923"/>
    <cellStyle name="40% - Accent4 5 17 7" xfId="4924"/>
    <cellStyle name="40% - Accent4 5 17 8" xfId="4925"/>
    <cellStyle name="40% - Accent4 5 18" xfId="4926"/>
    <cellStyle name="40% - Accent4 5 18 2" xfId="4927"/>
    <cellStyle name="40% - Accent4 5 18 3" xfId="4928"/>
    <cellStyle name="40% - Accent4 5 18 4" xfId="4929"/>
    <cellStyle name="40% - Accent4 5 18 5" xfId="4930"/>
    <cellStyle name="40% - Accent4 5 18 6" xfId="4931"/>
    <cellStyle name="40% - Accent4 5 18 7" xfId="4932"/>
    <cellStyle name="40% - Accent4 5 18 8" xfId="4933"/>
    <cellStyle name="40% - Accent4 5 19" xfId="4934"/>
    <cellStyle name="40% - Accent4 5 2" xfId="4935"/>
    <cellStyle name="40% - Accent4 5 2 2" xfId="4936"/>
    <cellStyle name="40% - Accent4 5 2 3" xfId="4937"/>
    <cellStyle name="40% - Accent4 5 2 4" xfId="4938"/>
    <cellStyle name="40% - Accent4 5 2 5" xfId="4939"/>
    <cellStyle name="40% - Accent4 5 2 6" xfId="4940"/>
    <cellStyle name="40% - Accent4 5 2 7" xfId="4941"/>
    <cellStyle name="40% - Accent4 5 2 8" xfId="4942"/>
    <cellStyle name="40% - Accent4 5 20" xfId="4943"/>
    <cellStyle name="40% - Accent4 5 21" xfId="4944"/>
    <cellStyle name="40% - Accent4 5 22" xfId="4945"/>
    <cellStyle name="40% - Accent4 5 23" xfId="4946"/>
    <cellStyle name="40% - Accent4 5 24" xfId="4947"/>
    <cellStyle name="40% - Accent4 5 25" xfId="4948"/>
    <cellStyle name="40% - Accent4 5 26" xfId="4949"/>
    <cellStyle name="40% - Accent4 5 27" xfId="4950"/>
    <cellStyle name="40% - Accent4 5 28" xfId="4951"/>
    <cellStyle name="40% - Accent4 5 29" xfId="4952"/>
    <cellStyle name="40% - Accent4 5 3" xfId="4953"/>
    <cellStyle name="40% - Accent4 5 3 2" xfId="4954"/>
    <cellStyle name="40% - Accent4 5 3 3" xfId="4955"/>
    <cellStyle name="40% - Accent4 5 3 4" xfId="4956"/>
    <cellStyle name="40% - Accent4 5 3 5" xfId="4957"/>
    <cellStyle name="40% - Accent4 5 3 6" xfId="4958"/>
    <cellStyle name="40% - Accent4 5 3 7" xfId="4959"/>
    <cellStyle name="40% - Accent4 5 3 8" xfId="4960"/>
    <cellStyle name="40% - Accent4 5 30" xfId="4961"/>
    <cellStyle name="40% - Accent4 5 31" xfId="4962"/>
    <cellStyle name="40% - Accent4 5 32" xfId="4963"/>
    <cellStyle name="40% - Accent4 5 33" xfId="4964"/>
    <cellStyle name="40% - Accent4 5 34" xfId="4965"/>
    <cellStyle name="40% - Accent4 5 35" xfId="4966"/>
    <cellStyle name="40% - Accent4 5 4" xfId="4967"/>
    <cellStyle name="40% - Accent4 5 4 2" xfId="4968"/>
    <cellStyle name="40% - Accent4 5 4 3" xfId="4969"/>
    <cellStyle name="40% - Accent4 5 4 4" xfId="4970"/>
    <cellStyle name="40% - Accent4 5 4 5" xfId="4971"/>
    <cellStyle name="40% - Accent4 5 4 6" xfId="4972"/>
    <cellStyle name="40% - Accent4 5 4 7" xfId="4973"/>
    <cellStyle name="40% - Accent4 5 4 8" xfId="4974"/>
    <cellStyle name="40% - Accent4 5 5" xfId="4975"/>
    <cellStyle name="40% - Accent4 5 5 2" xfId="4976"/>
    <cellStyle name="40% - Accent4 5 5 3" xfId="4977"/>
    <cellStyle name="40% - Accent4 5 5 4" xfId="4978"/>
    <cellStyle name="40% - Accent4 5 5 5" xfId="4979"/>
    <cellStyle name="40% - Accent4 5 5 6" xfId="4980"/>
    <cellStyle name="40% - Accent4 5 5 7" xfId="4981"/>
    <cellStyle name="40% - Accent4 5 5 8" xfId="4982"/>
    <cellStyle name="40% - Accent4 5 6" xfId="4983"/>
    <cellStyle name="40% - Accent4 5 6 2" xfId="4984"/>
    <cellStyle name="40% - Accent4 5 6 3" xfId="4985"/>
    <cellStyle name="40% - Accent4 5 6 4" xfId="4986"/>
    <cellStyle name="40% - Accent4 5 6 5" xfId="4987"/>
    <cellStyle name="40% - Accent4 5 6 6" xfId="4988"/>
    <cellStyle name="40% - Accent4 5 6 7" xfId="4989"/>
    <cellStyle name="40% - Accent4 5 6 8" xfId="4990"/>
    <cellStyle name="40% - Accent4 5 7" xfId="4991"/>
    <cellStyle name="40% - Accent4 5 7 2" xfId="4992"/>
    <cellStyle name="40% - Accent4 5 7 3" xfId="4993"/>
    <cellStyle name="40% - Accent4 5 7 4" xfId="4994"/>
    <cellStyle name="40% - Accent4 5 7 5" xfId="4995"/>
    <cellStyle name="40% - Accent4 5 7 6" xfId="4996"/>
    <cellStyle name="40% - Accent4 5 7 7" xfId="4997"/>
    <cellStyle name="40% - Accent4 5 7 8" xfId="4998"/>
    <cellStyle name="40% - Accent4 5 8" xfId="4999"/>
    <cellStyle name="40% - Accent4 5 8 2" xfId="5000"/>
    <cellStyle name="40% - Accent4 5 8 3" xfId="5001"/>
    <cellStyle name="40% - Accent4 5 8 4" xfId="5002"/>
    <cellStyle name="40% - Accent4 5 8 5" xfId="5003"/>
    <cellStyle name="40% - Accent4 5 8 6" xfId="5004"/>
    <cellStyle name="40% - Accent4 5 8 7" xfId="5005"/>
    <cellStyle name="40% - Accent4 5 8 8" xfId="5006"/>
    <cellStyle name="40% - Accent4 5 9" xfId="5007"/>
    <cellStyle name="40% - Accent4 5 9 2" xfId="5008"/>
    <cellStyle name="40% - Accent4 5 9 3" xfId="5009"/>
    <cellStyle name="40% - Accent4 5 9 4" xfId="5010"/>
    <cellStyle name="40% - Accent4 5 9 5" xfId="5011"/>
    <cellStyle name="40% - Accent4 5 9 6" xfId="5012"/>
    <cellStyle name="40% - Accent4 5 9 7" xfId="5013"/>
    <cellStyle name="40% - Accent4 5 9 8" xfId="5014"/>
    <cellStyle name="40% - Accent4 6" xfId="5015"/>
    <cellStyle name="40% - Accent5 2" xfId="5016"/>
    <cellStyle name="40% - Accent5 2 10" xfId="5017"/>
    <cellStyle name="40% - Accent5 2 10 2" xfId="5018"/>
    <cellStyle name="40% - Accent5 2 10 3" xfId="5019"/>
    <cellStyle name="40% - Accent5 2 10 4" xfId="5020"/>
    <cellStyle name="40% - Accent5 2 10 5" xfId="5021"/>
    <cellStyle name="40% - Accent5 2 10 6" xfId="5022"/>
    <cellStyle name="40% - Accent5 2 10 7" xfId="5023"/>
    <cellStyle name="40% - Accent5 2 10 8" xfId="5024"/>
    <cellStyle name="40% - Accent5 2 11" xfId="5025"/>
    <cellStyle name="40% - Accent5 2 11 2" xfId="5026"/>
    <cellStyle name="40% - Accent5 2 11 3" xfId="5027"/>
    <cellStyle name="40% - Accent5 2 11 4" xfId="5028"/>
    <cellStyle name="40% - Accent5 2 11 5" xfId="5029"/>
    <cellStyle name="40% - Accent5 2 11 6" xfId="5030"/>
    <cellStyle name="40% - Accent5 2 11 7" xfId="5031"/>
    <cellStyle name="40% - Accent5 2 11 8" xfId="5032"/>
    <cellStyle name="40% - Accent5 2 12" xfId="5033"/>
    <cellStyle name="40% - Accent5 2 12 2" xfId="5034"/>
    <cellStyle name="40% - Accent5 2 12 3" xfId="5035"/>
    <cellStyle name="40% - Accent5 2 12 4" xfId="5036"/>
    <cellStyle name="40% - Accent5 2 12 5" xfId="5037"/>
    <cellStyle name="40% - Accent5 2 12 6" xfId="5038"/>
    <cellStyle name="40% - Accent5 2 12 7" xfId="5039"/>
    <cellStyle name="40% - Accent5 2 12 8" xfId="5040"/>
    <cellStyle name="40% - Accent5 2 13" xfId="5041"/>
    <cellStyle name="40% - Accent5 2 13 2" xfId="5042"/>
    <cellStyle name="40% - Accent5 2 13 3" xfId="5043"/>
    <cellStyle name="40% - Accent5 2 13 4" xfId="5044"/>
    <cellStyle name="40% - Accent5 2 13 5" xfId="5045"/>
    <cellStyle name="40% - Accent5 2 13 6" xfId="5046"/>
    <cellStyle name="40% - Accent5 2 13 7" xfId="5047"/>
    <cellStyle name="40% - Accent5 2 13 8" xfId="5048"/>
    <cellStyle name="40% - Accent5 2 14" xfId="5049"/>
    <cellStyle name="40% - Accent5 2 14 2" xfId="5050"/>
    <cellStyle name="40% - Accent5 2 14 3" xfId="5051"/>
    <cellStyle name="40% - Accent5 2 14 4" xfId="5052"/>
    <cellStyle name="40% - Accent5 2 14 5" xfId="5053"/>
    <cellStyle name="40% - Accent5 2 14 6" xfId="5054"/>
    <cellStyle name="40% - Accent5 2 14 7" xfId="5055"/>
    <cellStyle name="40% - Accent5 2 14 8" xfId="5056"/>
    <cellStyle name="40% - Accent5 2 15" xfId="5057"/>
    <cellStyle name="40% - Accent5 2 15 2" xfId="5058"/>
    <cellStyle name="40% - Accent5 2 15 3" xfId="5059"/>
    <cellStyle name="40% - Accent5 2 15 4" xfId="5060"/>
    <cellStyle name="40% - Accent5 2 15 5" xfId="5061"/>
    <cellStyle name="40% - Accent5 2 15 6" xfId="5062"/>
    <cellStyle name="40% - Accent5 2 15 7" xfId="5063"/>
    <cellStyle name="40% - Accent5 2 15 8" xfId="5064"/>
    <cellStyle name="40% - Accent5 2 16" xfId="5065"/>
    <cellStyle name="40% - Accent5 2 16 2" xfId="5066"/>
    <cellStyle name="40% - Accent5 2 16 3" xfId="5067"/>
    <cellStyle name="40% - Accent5 2 16 4" xfId="5068"/>
    <cellStyle name="40% - Accent5 2 16 5" xfId="5069"/>
    <cellStyle name="40% - Accent5 2 16 6" xfId="5070"/>
    <cellStyle name="40% - Accent5 2 16 7" xfId="5071"/>
    <cellStyle name="40% - Accent5 2 16 8" xfId="5072"/>
    <cellStyle name="40% - Accent5 2 17" xfId="5073"/>
    <cellStyle name="40% - Accent5 2 17 2" xfId="5074"/>
    <cellStyle name="40% - Accent5 2 17 3" xfId="5075"/>
    <cellStyle name="40% - Accent5 2 17 4" xfId="5076"/>
    <cellStyle name="40% - Accent5 2 17 5" xfId="5077"/>
    <cellStyle name="40% - Accent5 2 17 6" xfId="5078"/>
    <cellStyle name="40% - Accent5 2 17 7" xfId="5079"/>
    <cellStyle name="40% - Accent5 2 17 8" xfId="5080"/>
    <cellStyle name="40% - Accent5 2 18" xfId="5081"/>
    <cellStyle name="40% - Accent5 2 18 2" xfId="5082"/>
    <cellStyle name="40% - Accent5 2 18 3" xfId="5083"/>
    <cellStyle name="40% - Accent5 2 18 4" xfId="5084"/>
    <cellStyle name="40% - Accent5 2 18 5" xfId="5085"/>
    <cellStyle name="40% - Accent5 2 18 6" xfId="5086"/>
    <cellStyle name="40% - Accent5 2 18 7" xfId="5087"/>
    <cellStyle name="40% - Accent5 2 18 8" xfId="5088"/>
    <cellStyle name="40% - Accent5 2 19" xfId="5089"/>
    <cellStyle name="40% - Accent5 2 2" xfId="5090"/>
    <cellStyle name="40% - Accent5 2 2 2" xfId="5091"/>
    <cellStyle name="40% - Accent5 2 2 3" xfId="5092"/>
    <cellStyle name="40% - Accent5 2 2 4" xfId="5093"/>
    <cellStyle name="40% - Accent5 2 2 5" xfId="5094"/>
    <cellStyle name="40% - Accent5 2 2 6" xfId="5095"/>
    <cellStyle name="40% - Accent5 2 2 7" xfId="5096"/>
    <cellStyle name="40% - Accent5 2 2 8" xfId="5097"/>
    <cellStyle name="40% - Accent5 2 20" xfId="5098"/>
    <cellStyle name="40% - Accent5 2 21" xfId="5099"/>
    <cellStyle name="40% - Accent5 2 22" xfId="5100"/>
    <cellStyle name="40% - Accent5 2 23" xfId="5101"/>
    <cellStyle name="40% - Accent5 2 24" xfId="5102"/>
    <cellStyle name="40% - Accent5 2 25" xfId="5103"/>
    <cellStyle name="40% - Accent5 2 26" xfId="5104"/>
    <cellStyle name="40% - Accent5 2 27" xfId="5105"/>
    <cellStyle name="40% - Accent5 2 28" xfId="5106"/>
    <cellStyle name="40% - Accent5 2 29" xfId="5107"/>
    <cellStyle name="40% - Accent5 2 3" xfId="5108"/>
    <cellStyle name="40% - Accent5 2 3 2" xfId="5109"/>
    <cellStyle name="40% - Accent5 2 3 3" xfId="5110"/>
    <cellStyle name="40% - Accent5 2 3 4" xfId="5111"/>
    <cellStyle name="40% - Accent5 2 3 5" xfId="5112"/>
    <cellStyle name="40% - Accent5 2 3 6" xfId="5113"/>
    <cellStyle name="40% - Accent5 2 3 7" xfId="5114"/>
    <cellStyle name="40% - Accent5 2 3 8" xfId="5115"/>
    <cellStyle name="40% - Accent5 2 30" xfId="5116"/>
    <cellStyle name="40% - Accent5 2 31" xfId="5117"/>
    <cellStyle name="40% - Accent5 2 32" xfId="5118"/>
    <cellStyle name="40% - Accent5 2 33" xfId="5119"/>
    <cellStyle name="40% - Accent5 2 34" xfId="5120"/>
    <cellStyle name="40% - Accent5 2 35" xfId="5121"/>
    <cellStyle name="40% - Accent5 2 36" xfId="5122"/>
    <cellStyle name="40% - Accent5 2 37" xfId="5123"/>
    <cellStyle name="40% - Accent5 2 38" xfId="5124"/>
    <cellStyle name="40% - Accent5 2 4" xfId="5125"/>
    <cellStyle name="40% - Accent5 2 4 2" xfId="5126"/>
    <cellStyle name="40% - Accent5 2 4 3" xfId="5127"/>
    <cellStyle name="40% - Accent5 2 4 4" xfId="5128"/>
    <cellStyle name="40% - Accent5 2 4 5" xfId="5129"/>
    <cellStyle name="40% - Accent5 2 4 6" xfId="5130"/>
    <cellStyle name="40% - Accent5 2 4 7" xfId="5131"/>
    <cellStyle name="40% - Accent5 2 4 8" xfId="5132"/>
    <cellStyle name="40% - Accent5 2 5" xfId="5133"/>
    <cellStyle name="40% - Accent5 2 5 2" xfId="5134"/>
    <cellStyle name="40% - Accent5 2 5 3" xfId="5135"/>
    <cellStyle name="40% - Accent5 2 5 4" xfId="5136"/>
    <cellStyle name="40% - Accent5 2 5 5" xfId="5137"/>
    <cellStyle name="40% - Accent5 2 5 6" xfId="5138"/>
    <cellStyle name="40% - Accent5 2 5 7" xfId="5139"/>
    <cellStyle name="40% - Accent5 2 5 8" xfId="5140"/>
    <cellStyle name="40% - Accent5 2 6" xfId="5141"/>
    <cellStyle name="40% - Accent5 2 6 2" xfId="5142"/>
    <cellStyle name="40% - Accent5 2 6 3" xfId="5143"/>
    <cellStyle name="40% - Accent5 2 6 4" xfId="5144"/>
    <cellStyle name="40% - Accent5 2 6 5" xfId="5145"/>
    <cellStyle name="40% - Accent5 2 6 6" xfId="5146"/>
    <cellStyle name="40% - Accent5 2 6 7" xfId="5147"/>
    <cellStyle name="40% - Accent5 2 6 8" xfId="5148"/>
    <cellStyle name="40% - Accent5 2 7" xfId="5149"/>
    <cellStyle name="40% - Accent5 2 7 2" xfId="5150"/>
    <cellStyle name="40% - Accent5 2 7 3" xfId="5151"/>
    <cellStyle name="40% - Accent5 2 7 4" xfId="5152"/>
    <cellStyle name="40% - Accent5 2 7 5" xfId="5153"/>
    <cellStyle name="40% - Accent5 2 7 6" xfId="5154"/>
    <cellStyle name="40% - Accent5 2 7 7" xfId="5155"/>
    <cellStyle name="40% - Accent5 2 7 8" xfId="5156"/>
    <cellStyle name="40% - Accent5 2 8" xfId="5157"/>
    <cellStyle name="40% - Accent5 2 8 2" xfId="5158"/>
    <cellStyle name="40% - Accent5 2 8 3" xfId="5159"/>
    <cellStyle name="40% - Accent5 2 8 4" xfId="5160"/>
    <cellStyle name="40% - Accent5 2 8 5" xfId="5161"/>
    <cellStyle name="40% - Accent5 2 8 6" xfId="5162"/>
    <cellStyle name="40% - Accent5 2 8 7" xfId="5163"/>
    <cellStyle name="40% - Accent5 2 8 8" xfId="5164"/>
    <cellStyle name="40% - Accent5 2 9" xfId="5165"/>
    <cellStyle name="40% - Accent5 2 9 2" xfId="5166"/>
    <cellStyle name="40% - Accent5 2 9 3" xfId="5167"/>
    <cellStyle name="40% - Accent5 2 9 4" xfId="5168"/>
    <cellStyle name="40% - Accent5 2 9 5" xfId="5169"/>
    <cellStyle name="40% - Accent5 2 9 6" xfId="5170"/>
    <cellStyle name="40% - Accent5 2 9 7" xfId="5171"/>
    <cellStyle name="40% - Accent5 2 9 8" xfId="5172"/>
    <cellStyle name="40% - Accent5 3" xfId="5173"/>
    <cellStyle name="40% - Accent5 3 10" xfId="5174"/>
    <cellStyle name="40% - Accent5 3 10 2" xfId="5175"/>
    <cellStyle name="40% - Accent5 3 10 3" xfId="5176"/>
    <cellStyle name="40% - Accent5 3 10 4" xfId="5177"/>
    <cellStyle name="40% - Accent5 3 10 5" xfId="5178"/>
    <cellStyle name="40% - Accent5 3 10 6" xfId="5179"/>
    <cellStyle name="40% - Accent5 3 10 7" xfId="5180"/>
    <cellStyle name="40% - Accent5 3 10 8" xfId="5181"/>
    <cellStyle name="40% - Accent5 3 11" xfId="5182"/>
    <cellStyle name="40% - Accent5 3 11 2" xfId="5183"/>
    <cellStyle name="40% - Accent5 3 11 3" xfId="5184"/>
    <cellStyle name="40% - Accent5 3 11 4" xfId="5185"/>
    <cellStyle name="40% - Accent5 3 11 5" xfId="5186"/>
    <cellStyle name="40% - Accent5 3 11 6" xfId="5187"/>
    <cellStyle name="40% - Accent5 3 11 7" xfId="5188"/>
    <cellStyle name="40% - Accent5 3 11 8" xfId="5189"/>
    <cellStyle name="40% - Accent5 3 12" xfId="5190"/>
    <cellStyle name="40% - Accent5 3 12 2" xfId="5191"/>
    <cellStyle name="40% - Accent5 3 12 3" xfId="5192"/>
    <cellStyle name="40% - Accent5 3 12 4" xfId="5193"/>
    <cellStyle name="40% - Accent5 3 12 5" xfId="5194"/>
    <cellStyle name="40% - Accent5 3 12 6" xfId="5195"/>
    <cellStyle name="40% - Accent5 3 12 7" xfId="5196"/>
    <cellStyle name="40% - Accent5 3 12 8" xfId="5197"/>
    <cellStyle name="40% - Accent5 3 13" xfId="5198"/>
    <cellStyle name="40% - Accent5 3 13 2" xfId="5199"/>
    <cellStyle name="40% - Accent5 3 13 3" xfId="5200"/>
    <cellStyle name="40% - Accent5 3 13 4" xfId="5201"/>
    <cellStyle name="40% - Accent5 3 13 5" xfId="5202"/>
    <cellStyle name="40% - Accent5 3 13 6" xfId="5203"/>
    <cellStyle name="40% - Accent5 3 13 7" xfId="5204"/>
    <cellStyle name="40% - Accent5 3 13 8" xfId="5205"/>
    <cellStyle name="40% - Accent5 3 14" xfId="5206"/>
    <cellStyle name="40% - Accent5 3 14 2" xfId="5207"/>
    <cellStyle name="40% - Accent5 3 14 3" xfId="5208"/>
    <cellStyle name="40% - Accent5 3 14 4" xfId="5209"/>
    <cellStyle name="40% - Accent5 3 14 5" xfId="5210"/>
    <cellStyle name="40% - Accent5 3 14 6" xfId="5211"/>
    <cellStyle name="40% - Accent5 3 14 7" xfId="5212"/>
    <cellStyle name="40% - Accent5 3 14 8" xfId="5213"/>
    <cellStyle name="40% - Accent5 3 15" xfId="5214"/>
    <cellStyle name="40% - Accent5 3 15 2" xfId="5215"/>
    <cellStyle name="40% - Accent5 3 15 3" xfId="5216"/>
    <cellStyle name="40% - Accent5 3 15 4" xfId="5217"/>
    <cellStyle name="40% - Accent5 3 15 5" xfId="5218"/>
    <cellStyle name="40% - Accent5 3 15 6" xfId="5219"/>
    <cellStyle name="40% - Accent5 3 15 7" xfId="5220"/>
    <cellStyle name="40% - Accent5 3 15 8" xfId="5221"/>
    <cellStyle name="40% - Accent5 3 16" xfId="5222"/>
    <cellStyle name="40% - Accent5 3 16 2" xfId="5223"/>
    <cellStyle name="40% - Accent5 3 16 3" xfId="5224"/>
    <cellStyle name="40% - Accent5 3 16 4" xfId="5225"/>
    <cellStyle name="40% - Accent5 3 16 5" xfId="5226"/>
    <cellStyle name="40% - Accent5 3 16 6" xfId="5227"/>
    <cellStyle name="40% - Accent5 3 16 7" xfId="5228"/>
    <cellStyle name="40% - Accent5 3 16 8" xfId="5229"/>
    <cellStyle name="40% - Accent5 3 17" xfId="5230"/>
    <cellStyle name="40% - Accent5 3 17 2" xfId="5231"/>
    <cellStyle name="40% - Accent5 3 17 3" xfId="5232"/>
    <cellStyle name="40% - Accent5 3 17 4" xfId="5233"/>
    <cellStyle name="40% - Accent5 3 17 5" xfId="5234"/>
    <cellStyle name="40% - Accent5 3 17 6" xfId="5235"/>
    <cellStyle name="40% - Accent5 3 17 7" xfId="5236"/>
    <cellStyle name="40% - Accent5 3 17 8" xfId="5237"/>
    <cellStyle name="40% - Accent5 3 18" xfId="5238"/>
    <cellStyle name="40% - Accent5 3 18 2" xfId="5239"/>
    <cellStyle name="40% - Accent5 3 18 3" xfId="5240"/>
    <cellStyle name="40% - Accent5 3 18 4" xfId="5241"/>
    <cellStyle name="40% - Accent5 3 18 5" xfId="5242"/>
    <cellStyle name="40% - Accent5 3 18 6" xfId="5243"/>
    <cellStyle name="40% - Accent5 3 18 7" xfId="5244"/>
    <cellStyle name="40% - Accent5 3 18 8" xfId="5245"/>
    <cellStyle name="40% - Accent5 3 19" xfId="5246"/>
    <cellStyle name="40% - Accent5 3 2" xfId="5247"/>
    <cellStyle name="40% - Accent5 3 2 2" xfId="5248"/>
    <cellStyle name="40% - Accent5 3 2 3" xfId="5249"/>
    <cellStyle name="40% - Accent5 3 2 4" xfId="5250"/>
    <cellStyle name="40% - Accent5 3 2 5" xfId="5251"/>
    <cellStyle name="40% - Accent5 3 2 6" xfId="5252"/>
    <cellStyle name="40% - Accent5 3 2 7" xfId="5253"/>
    <cellStyle name="40% - Accent5 3 2 8" xfId="5254"/>
    <cellStyle name="40% - Accent5 3 20" xfId="5255"/>
    <cellStyle name="40% - Accent5 3 21" xfId="5256"/>
    <cellStyle name="40% - Accent5 3 22" xfId="5257"/>
    <cellStyle name="40% - Accent5 3 23" xfId="5258"/>
    <cellStyle name="40% - Accent5 3 24" xfId="5259"/>
    <cellStyle name="40% - Accent5 3 25" xfId="5260"/>
    <cellStyle name="40% - Accent5 3 26" xfId="5261"/>
    <cellStyle name="40% - Accent5 3 27" xfId="5262"/>
    <cellStyle name="40% - Accent5 3 28" xfId="5263"/>
    <cellStyle name="40% - Accent5 3 29" xfId="5264"/>
    <cellStyle name="40% - Accent5 3 3" xfId="5265"/>
    <cellStyle name="40% - Accent5 3 3 2" xfId="5266"/>
    <cellStyle name="40% - Accent5 3 3 3" xfId="5267"/>
    <cellStyle name="40% - Accent5 3 3 4" xfId="5268"/>
    <cellStyle name="40% - Accent5 3 3 5" xfId="5269"/>
    <cellStyle name="40% - Accent5 3 3 6" xfId="5270"/>
    <cellStyle name="40% - Accent5 3 3 7" xfId="5271"/>
    <cellStyle name="40% - Accent5 3 3 8" xfId="5272"/>
    <cellStyle name="40% - Accent5 3 30" xfId="5273"/>
    <cellStyle name="40% - Accent5 3 31" xfId="5274"/>
    <cellStyle name="40% - Accent5 3 32" xfId="5275"/>
    <cellStyle name="40% - Accent5 3 33" xfId="5276"/>
    <cellStyle name="40% - Accent5 3 34" xfId="5277"/>
    <cellStyle name="40% - Accent5 3 35" xfId="5278"/>
    <cellStyle name="40% - Accent5 3 4" xfId="5279"/>
    <cellStyle name="40% - Accent5 3 4 2" xfId="5280"/>
    <cellStyle name="40% - Accent5 3 4 3" xfId="5281"/>
    <cellStyle name="40% - Accent5 3 4 4" xfId="5282"/>
    <cellStyle name="40% - Accent5 3 4 5" xfId="5283"/>
    <cellStyle name="40% - Accent5 3 4 6" xfId="5284"/>
    <cellStyle name="40% - Accent5 3 4 7" xfId="5285"/>
    <cellStyle name="40% - Accent5 3 4 8" xfId="5286"/>
    <cellStyle name="40% - Accent5 3 5" xfId="5287"/>
    <cellStyle name="40% - Accent5 3 5 2" xfId="5288"/>
    <cellStyle name="40% - Accent5 3 5 3" xfId="5289"/>
    <cellStyle name="40% - Accent5 3 5 4" xfId="5290"/>
    <cellStyle name="40% - Accent5 3 5 5" xfId="5291"/>
    <cellStyle name="40% - Accent5 3 5 6" xfId="5292"/>
    <cellStyle name="40% - Accent5 3 5 7" xfId="5293"/>
    <cellStyle name="40% - Accent5 3 5 8" xfId="5294"/>
    <cellStyle name="40% - Accent5 3 6" xfId="5295"/>
    <cellStyle name="40% - Accent5 3 6 2" xfId="5296"/>
    <cellStyle name="40% - Accent5 3 6 3" xfId="5297"/>
    <cellStyle name="40% - Accent5 3 6 4" xfId="5298"/>
    <cellStyle name="40% - Accent5 3 6 5" xfId="5299"/>
    <cellStyle name="40% - Accent5 3 6 6" xfId="5300"/>
    <cellStyle name="40% - Accent5 3 6 7" xfId="5301"/>
    <cellStyle name="40% - Accent5 3 6 8" xfId="5302"/>
    <cellStyle name="40% - Accent5 3 7" xfId="5303"/>
    <cellStyle name="40% - Accent5 3 7 2" xfId="5304"/>
    <cellStyle name="40% - Accent5 3 7 3" xfId="5305"/>
    <cellStyle name="40% - Accent5 3 7 4" xfId="5306"/>
    <cellStyle name="40% - Accent5 3 7 5" xfId="5307"/>
    <cellStyle name="40% - Accent5 3 7 6" xfId="5308"/>
    <cellStyle name="40% - Accent5 3 7 7" xfId="5309"/>
    <cellStyle name="40% - Accent5 3 7 8" xfId="5310"/>
    <cellStyle name="40% - Accent5 3 8" xfId="5311"/>
    <cellStyle name="40% - Accent5 3 8 2" xfId="5312"/>
    <cellStyle name="40% - Accent5 3 8 3" xfId="5313"/>
    <cellStyle name="40% - Accent5 3 8 4" xfId="5314"/>
    <cellStyle name="40% - Accent5 3 8 5" xfId="5315"/>
    <cellStyle name="40% - Accent5 3 8 6" xfId="5316"/>
    <cellStyle name="40% - Accent5 3 8 7" xfId="5317"/>
    <cellStyle name="40% - Accent5 3 8 8" xfId="5318"/>
    <cellStyle name="40% - Accent5 3 9" xfId="5319"/>
    <cellStyle name="40% - Accent5 3 9 2" xfId="5320"/>
    <cellStyle name="40% - Accent5 3 9 3" xfId="5321"/>
    <cellStyle name="40% - Accent5 3 9 4" xfId="5322"/>
    <cellStyle name="40% - Accent5 3 9 5" xfId="5323"/>
    <cellStyle name="40% - Accent5 3 9 6" xfId="5324"/>
    <cellStyle name="40% - Accent5 3 9 7" xfId="5325"/>
    <cellStyle name="40% - Accent5 3 9 8" xfId="5326"/>
    <cellStyle name="40% - Accent5 4" xfId="5327"/>
    <cellStyle name="40% - Accent5 4 10" xfId="5328"/>
    <cellStyle name="40% - Accent5 4 10 2" xfId="5329"/>
    <cellStyle name="40% - Accent5 4 10 3" xfId="5330"/>
    <cellStyle name="40% - Accent5 4 10 4" xfId="5331"/>
    <cellStyle name="40% - Accent5 4 10 5" xfId="5332"/>
    <cellStyle name="40% - Accent5 4 10 6" xfId="5333"/>
    <cellStyle name="40% - Accent5 4 10 7" xfId="5334"/>
    <cellStyle name="40% - Accent5 4 10 8" xfId="5335"/>
    <cellStyle name="40% - Accent5 4 11" xfId="5336"/>
    <cellStyle name="40% - Accent5 4 11 2" xfId="5337"/>
    <cellStyle name="40% - Accent5 4 11 3" xfId="5338"/>
    <cellStyle name="40% - Accent5 4 11 4" xfId="5339"/>
    <cellStyle name="40% - Accent5 4 11 5" xfId="5340"/>
    <cellStyle name="40% - Accent5 4 11 6" xfId="5341"/>
    <cellStyle name="40% - Accent5 4 11 7" xfId="5342"/>
    <cellStyle name="40% - Accent5 4 11 8" xfId="5343"/>
    <cellStyle name="40% - Accent5 4 12" xfId="5344"/>
    <cellStyle name="40% - Accent5 4 12 2" xfId="5345"/>
    <cellStyle name="40% - Accent5 4 12 3" xfId="5346"/>
    <cellStyle name="40% - Accent5 4 12 4" xfId="5347"/>
    <cellStyle name="40% - Accent5 4 12 5" xfId="5348"/>
    <cellStyle name="40% - Accent5 4 12 6" xfId="5349"/>
    <cellStyle name="40% - Accent5 4 12 7" xfId="5350"/>
    <cellStyle name="40% - Accent5 4 12 8" xfId="5351"/>
    <cellStyle name="40% - Accent5 4 13" xfId="5352"/>
    <cellStyle name="40% - Accent5 4 13 2" xfId="5353"/>
    <cellStyle name="40% - Accent5 4 13 3" xfId="5354"/>
    <cellStyle name="40% - Accent5 4 13 4" xfId="5355"/>
    <cellStyle name="40% - Accent5 4 13 5" xfId="5356"/>
    <cellStyle name="40% - Accent5 4 13 6" xfId="5357"/>
    <cellStyle name="40% - Accent5 4 13 7" xfId="5358"/>
    <cellStyle name="40% - Accent5 4 13 8" xfId="5359"/>
    <cellStyle name="40% - Accent5 4 14" xfId="5360"/>
    <cellStyle name="40% - Accent5 4 14 2" xfId="5361"/>
    <cellStyle name="40% - Accent5 4 14 3" xfId="5362"/>
    <cellStyle name="40% - Accent5 4 14 4" xfId="5363"/>
    <cellStyle name="40% - Accent5 4 14 5" xfId="5364"/>
    <cellStyle name="40% - Accent5 4 14 6" xfId="5365"/>
    <cellStyle name="40% - Accent5 4 14 7" xfId="5366"/>
    <cellStyle name="40% - Accent5 4 14 8" xfId="5367"/>
    <cellStyle name="40% - Accent5 4 15" xfId="5368"/>
    <cellStyle name="40% - Accent5 4 15 2" xfId="5369"/>
    <cellStyle name="40% - Accent5 4 15 3" xfId="5370"/>
    <cellStyle name="40% - Accent5 4 15 4" xfId="5371"/>
    <cellStyle name="40% - Accent5 4 15 5" xfId="5372"/>
    <cellStyle name="40% - Accent5 4 15 6" xfId="5373"/>
    <cellStyle name="40% - Accent5 4 15 7" xfId="5374"/>
    <cellStyle name="40% - Accent5 4 15 8" xfId="5375"/>
    <cellStyle name="40% - Accent5 4 16" xfId="5376"/>
    <cellStyle name="40% - Accent5 4 16 2" xfId="5377"/>
    <cellStyle name="40% - Accent5 4 16 3" xfId="5378"/>
    <cellStyle name="40% - Accent5 4 16 4" xfId="5379"/>
    <cellStyle name="40% - Accent5 4 16 5" xfId="5380"/>
    <cellStyle name="40% - Accent5 4 16 6" xfId="5381"/>
    <cellStyle name="40% - Accent5 4 16 7" xfId="5382"/>
    <cellStyle name="40% - Accent5 4 16 8" xfId="5383"/>
    <cellStyle name="40% - Accent5 4 17" xfId="5384"/>
    <cellStyle name="40% - Accent5 4 17 2" xfId="5385"/>
    <cellStyle name="40% - Accent5 4 17 3" xfId="5386"/>
    <cellStyle name="40% - Accent5 4 17 4" xfId="5387"/>
    <cellStyle name="40% - Accent5 4 17 5" xfId="5388"/>
    <cellStyle name="40% - Accent5 4 17 6" xfId="5389"/>
    <cellStyle name="40% - Accent5 4 17 7" xfId="5390"/>
    <cellStyle name="40% - Accent5 4 17 8" xfId="5391"/>
    <cellStyle name="40% - Accent5 4 18" xfId="5392"/>
    <cellStyle name="40% - Accent5 4 18 2" xfId="5393"/>
    <cellStyle name="40% - Accent5 4 18 3" xfId="5394"/>
    <cellStyle name="40% - Accent5 4 18 4" xfId="5395"/>
    <cellStyle name="40% - Accent5 4 18 5" xfId="5396"/>
    <cellStyle name="40% - Accent5 4 18 6" xfId="5397"/>
    <cellStyle name="40% - Accent5 4 18 7" xfId="5398"/>
    <cellStyle name="40% - Accent5 4 18 8" xfId="5399"/>
    <cellStyle name="40% - Accent5 4 19" xfId="5400"/>
    <cellStyle name="40% - Accent5 4 2" xfId="5401"/>
    <cellStyle name="40% - Accent5 4 2 2" xfId="5402"/>
    <cellStyle name="40% - Accent5 4 2 3" xfId="5403"/>
    <cellStyle name="40% - Accent5 4 2 4" xfId="5404"/>
    <cellStyle name="40% - Accent5 4 2 5" xfId="5405"/>
    <cellStyle name="40% - Accent5 4 2 6" xfId="5406"/>
    <cellStyle name="40% - Accent5 4 2 7" xfId="5407"/>
    <cellStyle name="40% - Accent5 4 2 8" xfId="5408"/>
    <cellStyle name="40% - Accent5 4 20" xfId="5409"/>
    <cellStyle name="40% - Accent5 4 21" xfId="5410"/>
    <cellStyle name="40% - Accent5 4 22" xfId="5411"/>
    <cellStyle name="40% - Accent5 4 23" xfId="5412"/>
    <cellStyle name="40% - Accent5 4 24" xfId="5413"/>
    <cellStyle name="40% - Accent5 4 25" xfId="5414"/>
    <cellStyle name="40% - Accent5 4 26" xfId="5415"/>
    <cellStyle name="40% - Accent5 4 27" xfId="5416"/>
    <cellStyle name="40% - Accent5 4 28" xfId="5417"/>
    <cellStyle name="40% - Accent5 4 29" xfId="5418"/>
    <cellStyle name="40% - Accent5 4 3" xfId="5419"/>
    <cellStyle name="40% - Accent5 4 3 2" xfId="5420"/>
    <cellStyle name="40% - Accent5 4 3 3" xfId="5421"/>
    <cellStyle name="40% - Accent5 4 3 4" xfId="5422"/>
    <cellStyle name="40% - Accent5 4 3 5" xfId="5423"/>
    <cellStyle name="40% - Accent5 4 3 6" xfId="5424"/>
    <cellStyle name="40% - Accent5 4 3 7" xfId="5425"/>
    <cellStyle name="40% - Accent5 4 3 8" xfId="5426"/>
    <cellStyle name="40% - Accent5 4 30" xfId="5427"/>
    <cellStyle name="40% - Accent5 4 31" xfId="5428"/>
    <cellStyle name="40% - Accent5 4 32" xfId="5429"/>
    <cellStyle name="40% - Accent5 4 33" xfId="5430"/>
    <cellStyle name="40% - Accent5 4 34" xfId="5431"/>
    <cellStyle name="40% - Accent5 4 35" xfId="5432"/>
    <cellStyle name="40% - Accent5 4 4" xfId="5433"/>
    <cellStyle name="40% - Accent5 4 4 2" xfId="5434"/>
    <cellStyle name="40% - Accent5 4 4 3" xfId="5435"/>
    <cellStyle name="40% - Accent5 4 4 4" xfId="5436"/>
    <cellStyle name="40% - Accent5 4 4 5" xfId="5437"/>
    <cellStyle name="40% - Accent5 4 4 6" xfId="5438"/>
    <cellStyle name="40% - Accent5 4 4 7" xfId="5439"/>
    <cellStyle name="40% - Accent5 4 4 8" xfId="5440"/>
    <cellStyle name="40% - Accent5 4 5" xfId="5441"/>
    <cellStyle name="40% - Accent5 4 5 2" xfId="5442"/>
    <cellStyle name="40% - Accent5 4 5 3" xfId="5443"/>
    <cellStyle name="40% - Accent5 4 5 4" xfId="5444"/>
    <cellStyle name="40% - Accent5 4 5 5" xfId="5445"/>
    <cellStyle name="40% - Accent5 4 5 6" xfId="5446"/>
    <cellStyle name="40% - Accent5 4 5 7" xfId="5447"/>
    <cellStyle name="40% - Accent5 4 5 8" xfId="5448"/>
    <cellStyle name="40% - Accent5 4 6" xfId="5449"/>
    <cellStyle name="40% - Accent5 4 6 2" xfId="5450"/>
    <cellStyle name="40% - Accent5 4 6 3" xfId="5451"/>
    <cellStyle name="40% - Accent5 4 6 4" xfId="5452"/>
    <cellStyle name="40% - Accent5 4 6 5" xfId="5453"/>
    <cellStyle name="40% - Accent5 4 6 6" xfId="5454"/>
    <cellStyle name="40% - Accent5 4 6 7" xfId="5455"/>
    <cellStyle name="40% - Accent5 4 6 8" xfId="5456"/>
    <cellStyle name="40% - Accent5 4 7" xfId="5457"/>
    <cellStyle name="40% - Accent5 4 7 2" xfId="5458"/>
    <cellStyle name="40% - Accent5 4 7 3" xfId="5459"/>
    <cellStyle name="40% - Accent5 4 7 4" xfId="5460"/>
    <cellStyle name="40% - Accent5 4 7 5" xfId="5461"/>
    <cellStyle name="40% - Accent5 4 7 6" xfId="5462"/>
    <cellStyle name="40% - Accent5 4 7 7" xfId="5463"/>
    <cellStyle name="40% - Accent5 4 7 8" xfId="5464"/>
    <cellStyle name="40% - Accent5 4 8" xfId="5465"/>
    <cellStyle name="40% - Accent5 4 8 2" xfId="5466"/>
    <cellStyle name="40% - Accent5 4 8 3" xfId="5467"/>
    <cellStyle name="40% - Accent5 4 8 4" xfId="5468"/>
    <cellStyle name="40% - Accent5 4 8 5" xfId="5469"/>
    <cellStyle name="40% - Accent5 4 8 6" xfId="5470"/>
    <cellStyle name="40% - Accent5 4 8 7" xfId="5471"/>
    <cellStyle name="40% - Accent5 4 8 8" xfId="5472"/>
    <cellStyle name="40% - Accent5 4 9" xfId="5473"/>
    <cellStyle name="40% - Accent5 4 9 2" xfId="5474"/>
    <cellStyle name="40% - Accent5 4 9 3" xfId="5475"/>
    <cellStyle name="40% - Accent5 4 9 4" xfId="5476"/>
    <cellStyle name="40% - Accent5 4 9 5" xfId="5477"/>
    <cellStyle name="40% - Accent5 4 9 6" xfId="5478"/>
    <cellStyle name="40% - Accent5 4 9 7" xfId="5479"/>
    <cellStyle name="40% - Accent5 4 9 8" xfId="5480"/>
    <cellStyle name="40% - Accent5 5" xfId="5481"/>
    <cellStyle name="40% - Accent5 5 10" xfId="5482"/>
    <cellStyle name="40% - Accent5 5 10 2" xfId="5483"/>
    <cellStyle name="40% - Accent5 5 10 3" xfId="5484"/>
    <cellStyle name="40% - Accent5 5 10 4" xfId="5485"/>
    <cellStyle name="40% - Accent5 5 10 5" xfId="5486"/>
    <cellStyle name="40% - Accent5 5 10 6" xfId="5487"/>
    <cellStyle name="40% - Accent5 5 10 7" xfId="5488"/>
    <cellStyle name="40% - Accent5 5 10 8" xfId="5489"/>
    <cellStyle name="40% - Accent5 5 11" xfId="5490"/>
    <cellStyle name="40% - Accent5 5 11 2" xfId="5491"/>
    <cellStyle name="40% - Accent5 5 11 3" xfId="5492"/>
    <cellStyle name="40% - Accent5 5 11 4" xfId="5493"/>
    <cellStyle name="40% - Accent5 5 11 5" xfId="5494"/>
    <cellStyle name="40% - Accent5 5 11 6" xfId="5495"/>
    <cellStyle name="40% - Accent5 5 11 7" xfId="5496"/>
    <cellStyle name="40% - Accent5 5 11 8" xfId="5497"/>
    <cellStyle name="40% - Accent5 5 12" xfId="5498"/>
    <cellStyle name="40% - Accent5 5 12 2" xfId="5499"/>
    <cellStyle name="40% - Accent5 5 12 3" xfId="5500"/>
    <cellStyle name="40% - Accent5 5 12 4" xfId="5501"/>
    <cellStyle name="40% - Accent5 5 12 5" xfId="5502"/>
    <cellStyle name="40% - Accent5 5 12 6" xfId="5503"/>
    <cellStyle name="40% - Accent5 5 12 7" xfId="5504"/>
    <cellStyle name="40% - Accent5 5 12 8" xfId="5505"/>
    <cellStyle name="40% - Accent5 5 13" xfId="5506"/>
    <cellStyle name="40% - Accent5 5 13 2" xfId="5507"/>
    <cellStyle name="40% - Accent5 5 13 3" xfId="5508"/>
    <cellStyle name="40% - Accent5 5 13 4" xfId="5509"/>
    <cellStyle name="40% - Accent5 5 13 5" xfId="5510"/>
    <cellStyle name="40% - Accent5 5 13 6" xfId="5511"/>
    <cellStyle name="40% - Accent5 5 13 7" xfId="5512"/>
    <cellStyle name="40% - Accent5 5 13 8" xfId="5513"/>
    <cellStyle name="40% - Accent5 5 14" xfId="5514"/>
    <cellStyle name="40% - Accent5 5 14 2" xfId="5515"/>
    <cellStyle name="40% - Accent5 5 14 3" xfId="5516"/>
    <cellStyle name="40% - Accent5 5 14 4" xfId="5517"/>
    <cellStyle name="40% - Accent5 5 14 5" xfId="5518"/>
    <cellStyle name="40% - Accent5 5 14 6" xfId="5519"/>
    <cellStyle name="40% - Accent5 5 14 7" xfId="5520"/>
    <cellStyle name="40% - Accent5 5 14 8" xfId="5521"/>
    <cellStyle name="40% - Accent5 5 15" xfId="5522"/>
    <cellStyle name="40% - Accent5 5 15 2" xfId="5523"/>
    <cellStyle name="40% - Accent5 5 15 3" xfId="5524"/>
    <cellStyle name="40% - Accent5 5 15 4" xfId="5525"/>
    <cellStyle name="40% - Accent5 5 15 5" xfId="5526"/>
    <cellStyle name="40% - Accent5 5 15 6" xfId="5527"/>
    <cellStyle name="40% - Accent5 5 15 7" xfId="5528"/>
    <cellStyle name="40% - Accent5 5 15 8" xfId="5529"/>
    <cellStyle name="40% - Accent5 5 16" xfId="5530"/>
    <cellStyle name="40% - Accent5 5 16 2" xfId="5531"/>
    <cellStyle name="40% - Accent5 5 16 3" xfId="5532"/>
    <cellStyle name="40% - Accent5 5 16 4" xfId="5533"/>
    <cellStyle name="40% - Accent5 5 16 5" xfId="5534"/>
    <cellStyle name="40% - Accent5 5 16 6" xfId="5535"/>
    <cellStyle name="40% - Accent5 5 16 7" xfId="5536"/>
    <cellStyle name="40% - Accent5 5 16 8" xfId="5537"/>
    <cellStyle name="40% - Accent5 5 17" xfId="5538"/>
    <cellStyle name="40% - Accent5 5 17 2" xfId="5539"/>
    <cellStyle name="40% - Accent5 5 17 3" xfId="5540"/>
    <cellStyle name="40% - Accent5 5 17 4" xfId="5541"/>
    <cellStyle name="40% - Accent5 5 17 5" xfId="5542"/>
    <cellStyle name="40% - Accent5 5 17 6" xfId="5543"/>
    <cellStyle name="40% - Accent5 5 17 7" xfId="5544"/>
    <cellStyle name="40% - Accent5 5 17 8" xfId="5545"/>
    <cellStyle name="40% - Accent5 5 18" xfId="5546"/>
    <cellStyle name="40% - Accent5 5 18 2" xfId="5547"/>
    <cellStyle name="40% - Accent5 5 18 3" xfId="5548"/>
    <cellStyle name="40% - Accent5 5 18 4" xfId="5549"/>
    <cellStyle name="40% - Accent5 5 18 5" xfId="5550"/>
    <cellStyle name="40% - Accent5 5 18 6" xfId="5551"/>
    <cellStyle name="40% - Accent5 5 18 7" xfId="5552"/>
    <cellStyle name="40% - Accent5 5 18 8" xfId="5553"/>
    <cellStyle name="40% - Accent5 5 19" xfId="5554"/>
    <cellStyle name="40% - Accent5 5 2" xfId="5555"/>
    <cellStyle name="40% - Accent5 5 2 2" xfId="5556"/>
    <cellStyle name="40% - Accent5 5 2 3" xfId="5557"/>
    <cellStyle name="40% - Accent5 5 2 4" xfId="5558"/>
    <cellStyle name="40% - Accent5 5 2 5" xfId="5559"/>
    <cellStyle name="40% - Accent5 5 2 6" xfId="5560"/>
    <cellStyle name="40% - Accent5 5 2 7" xfId="5561"/>
    <cellStyle name="40% - Accent5 5 2 8" xfId="5562"/>
    <cellStyle name="40% - Accent5 5 20" xfId="5563"/>
    <cellStyle name="40% - Accent5 5 21" xfId="5564"/>
    <cellStyle name="40% - Accent5 5 22" xfId="5565"/>
    <cellStyle name="40% - Accent5 5 23" xfId="5566"/>
    <cellStyle name="40% - Accent5 5 24" xfId="5567"/>
    <cellStyle name="40% - Accent5 5 25" xfId="5568"/>
    <cellStyle name="40% - Accent5 5 26" xfId="5569"/>
    <cellStyle name="40% - Accent5 5 27" xfId="5570"/>
    <cellStyle name="40% - Accent5 5 28" xfId="5571"/>
    <cellStyle name="40% - Accent5 5 29" xfId="5572"/>
    <cellStyle name="40% - Accent5 5 3" xfId="5573"/>
    <cellStyle name="40% - Accent5 5 3 2" xfId="5574"/>
    <cellStyle name="40% - Accent5 5 3 3" xfId="5575"/>
    <cellStyle name="40% - Accent5 5 3 4" xfId="5576"/>
    <cellStyle name="40% - Accent5 5 3 5" xfId="5577"/>
    <cellStyle name="40% - Accent5 5 3 6" xfId="5578"/>
    <cellStyle name="40% - Accent5 5 3 7" xfId="5579"/>
    <cellStyle name="40% - Accent5 5 3 8" xfId="5580"/>
    <cellStyle name="40% - Accent5 5 30" xfId="5581"/>
    <cellStyle name="40% - Accent5 5 31" xfId="5582"/>
    <cellStyle name="40% - Accent5 5 32" xfId="5583"/>
    <cellStyle name="40% - Accent5 5 33" xfId="5584"/>
    <cellStyle name="40% - Accent5 5 34" xfId="5585"/>
    <cellStyle name="40% - Accent5 5 35" xfId="5586"/>
    <cellStyle name="40% - Accent5 5 4" xfId="5587"/>
    <cellStyle name="40% - Accent5 5 4 2" xfId="5588"/>
    <cellStyle name="40% - Accent5 5 4 3" xfId="5589"/>
    <cellStyle name="40% - Accent5 5 4 4" xfId="5590"/>
    <cellStyle name="40% - Accent5 5 4 5" xfId="5591"/>
    <cellStyle name="40% - Accent5 5 4 6" xfId="5592"/>
    <cellStyle name="40% - Accent5 5 4 7" xfId="5593"/>
    <cellStyle name="40% - Accent5 5 4 8" xfId="5594"/>
    <cellStyle name="40% - Accent5 5 5" xfId="5595"/>
    <cellStyle name="40% - Accent5 5 5 2" xfId="5596"/>
    <cellStyle name="40% - Accent5 5 5 3" xfId="5597"/>
    <cellStyle name="40% - Accent5 5 5 4" xfId="5598"/>
    <cellStyle name="40% - Accent5 5 5 5" xfId="5599"/>
    <cellStyle name="40% - Accent5 5 5 6" xfId="5600"/>
    <cellStyle name="40% - Accent5 5 5 7" xfId="5601"/>
    <cellStyle name="40% - Accent5 5 5 8" xfId="5602"/>
    <cellStyle name="40% - Accent5 5 6" xfId="5603"/>
    <cellStyle name="40% - Accent5 5 6 2" xfId="5604"/>
    <cellStyle name="40% - Accent5 5 6 3" xfId="5605"/>
    <cellStyle name="40% - Accent5 5 6 4" xfId="5606"/>
    <cellStyle name="40% - Accent5 5 6 5" xfId="5607"/>
    <cellStyle name="40% - Accent5 5 6 6" xfId="5608"/>
    <cellStyle name="40% - Accent5 5 6 7" xfId="5609"/>
    <cellStyle name="40% - Accent5 5 6 8" xfId="5610"/>
    <cellStyle name="40% - Accent5 5 7" xfId="5611"/>
    <cellStyle name="40% - Accent5 5 7 2" xfId="5612"/>
    <cellStyle name="40% - Accent5 5 7 3" xfId="5613"/>
    <cellStyle name="40% - Accent5 5 7 4" xfId="5614"/>
    <cellStyle name="40% - Accent5 5 7 5" xfId="5615"/>
    <cellStyle name="40% - Accent5 5 7 6" xfId="5616"/>
    <cellStyle name="40% - Accent5 5 7 7" xfId="5617"/>
    <cellStyle name="40% - Accent5 5 7 8" xfId="5618"/>
    <cellStyle name="40% - Accent5 5 8" xfId="5619"/>
    <cellStyle name="40% - Accent5 5 8 2" xfId="5620"/>
    <cellStyle name="40% - Accent5 5 8 3" xfId="5621"/>
    <cellStyle name="40% - Accent5 5 8 4" xfId="5622"/>
    <cellStyle name="40% - Accent5 5 8 5" xfId="5623"/>
    <cellStyle name="40% - Accent5 5 8 6" xfId="5624"/>
    <cellStyle name="40% - Accent5 5 8 7" xfId="5625"/>
    <cellStyle name="40% - Accent5 5 8 8" xfId="5626"/>
    <cellStyle name="40% - Accent5 5 9" xfId="5627"/>
    <cellStyle name="40% - Accent5 5 9 2" xfId="5628"/>
    <cellStyle name="40% - Accent5 5 9 3" xfId="5629"/>
    <cellStyle name="40% - Accent5 5 9 4" xfId="5630"/>
    <cellStyle name="40% - Accent5 5 9 5" xfId="5631"/>
    <cellStyle name="40% - Accent5 5 9 6" xfId="5632"/>
    <cellStyle name="40% - Accent5 5 9 7" xfId="5633"/>
    <cellStyle name="40% - Accent5 5 9 8" xfId="5634"/>
    <cellStyle name="40% - Accent5 6" xfId="5635"/>
    <cellStyle name="40% - Accent6 2" xfId="5636"/>
    <cellStyle name="40% - Accent6 2 10" xfId="5637"/>
    <cellStyle name="40% - Accent6 2 10 2" xfId="5638"/>
    <cellStyle name="40% - Accent6 2 10 3" xfId="5639"/>
    <cellStyle name="40% - Accent6 2 10 4" xfId="5640"/>
    <cellStyle name="40% - Accent6 2 10 5" xfId="5641"/>
    <cellStyle name="40% - Accent6 2 10 6" xfId="5642"/>
    <cellStyle name="40% - Accent6 2 10 7" xfId="5643"/>
    <cellStyle name="40% - Accent6 2 10 8" xfId="5644"/>
    <cellStyle name="40% - Accent6 2 11" xfId="5645"/>
    <cellStyle name="40% - Accent6 2 11 2" xfId="5646"/>
    <cellStyle name="40% - Accent6 2 11 3" xfId="5647"/>
    <cellStyle name="40% - Accent6 2 11 4" xfId="5648"/>
    <cellStyle name="40% - Accent6 2 11 5" xfId="5649"/>
    <cellStyle name="40% - Accent6 2 11 6" xfId="5650"/>
    <cellStyle name="40% - Accent6 2 11 7" xfId="5651"/>
    <cellStyle name="40% - Accent6 2 11 8" xfId="5652"/>
    <cellStyle name="40% - Accent6 2 12" xfId="5653"/>
    <cellStyle name="40% - Accent6 2 12 2" xfId="5654"/>
    <cellStyle name="40% - Accent6 2 12 3" xfId="5655"/>
    <cellStyle name="40% - Accent6 2 12 4" xfId="5656"/>
    <cellStyle name="40% - Accent6 2 12 5" xfId="5657"/>
    <cellStyle name="40% - Accent6 2 12 6" xfId="5658"/>
    <cellStyle name="40% - Accent6 2 12 7" xfId="5659"/>
    <cellStyle name="40% - Accent6 2 12 8" xfId="5660"/>
    <cellStyle name="40% - Accent6 2 13" xfId="5661"/>
    <cellStyle name="40% - Accent6 2 13 2" xfId="5662"/>
    <cellStyle name="40% - Accent6 2 13 3" xfId="5663"/>
    <cellStyle name="40% - Accent6 2 13 4" xfId="5664"/>
    <cellStyle name="40% - Accent6 2 13 5" xfId="5665"/>
    <cellStyle name="40% - Accent6 2 13 6" xfId="5666"/>
    <cellStyle name="40% - Accent6 2 13 7" xfId="5667"/>
    <cellStyle name="40% - Accent6 2 13 8" xfId="5668"/>
    <cellStyle name="40% - Accent6 2 14" xfId="5669"/>
    <cellStyle name="40% - Accent6 2 14 2" xfId="5670"/>
    <cellStyle name="40% - Accent6 2 14 3" xfId="5671"/>
    <cellStyle name="40% - Accent6 2 14 4" xfId="5672"/>
    <cellStyle name="40% - Accent6 2 14 5" xfId="5673"/>
    <cellStyle name="40% - Accent6 2 14 6" xfId="5674"/>
    <cellStyle name="40% - Accent6 2 14 7" xfId="5675"/>
    <cellStyle name="40% - Accent6 2 14 8" xfId="5676"/>
    <cellStyle name="40% - Accent6 2 15" xfId="5677"/>
    <cellStyle name="40% - Accent6 2 15 2" xfId="5678"/>
    <cellStyle name="40% - Accent6 2 15 3" xfId="5679"/>
    <cellStyle name="40% - Accent6 2 15 4" xfId="5680"/>
    <cellStyle name="40% - Accent6 2 15 5" xfId="5681"/>
    <cellStyle name="40% - Accent6 2 15 6" xfId="5682"/>
    <cellStyle name="40% - Accent6 2 15 7" xfId="5683"/>
    <cellStyle name="40% - Accent6 2 15 8" xfId="5684"/>
    <cellStyle name="40% - Accent6 2 16" xfId="5685"/>
    <cellStyle name="40% - Accent6 2 16 2" xfId="5686"/>
    <cellStyle name="40% - Accent6 2 16 3" xfId="5687"/>
    <cellStyle name="40% - Accent6 2 16 4" xfId="5688"/>
    <cellStyle name="40% - Accent6 2 16 5" xfId="5689"/>
    <cellStyle name="40% - Accent6 2 16 6" xfId="5690"/>
    <cellStyle name="40% - Accent6 2 16 7" xfId="5691"/>
    <cellStyle name="40% - Accent6 2 16 8" xfId="5692"/>
    <cellStyle name="40% - Accent6 2 17" xfId="5693"/>
    <cellStyle name="40% - Accent6 2 17 2" xfId="5694"/>
    <cellStyle name="40% - Accent6 2 17 3" xfId="5695"/>
    <cellStyle name="40% - Accent6 2 17 4" xfId="5696"/>
    <cellStyle name="40% - Accent6 2 17 5" xfId="5697"/>
    <cellStyle name="40% - Accent6 2 17 6" xfId="5698"/>
    <cellStyle name="40% - Accent6 2 17 7" xfId="5699"/>
    <cellStyle name="40% - Accent6 2 17 8" xfId="5700"/>
    <cellStyle name="40% - Accent6 2 18" xfId="5701"/>
    <cellStyle name="40% - Accent6 2 18 2" xfId="5702"/>
    <cellStyle name="40% - Accent6 2 18 3" xfId="5703"/>
    <cellStyle name="40% - Accent6 2 18 4" xfId="5704"/>
    <cellStyle name="40% - Accent6 2 18 5" xfId="5705"/>
    <cellStyle name="40% - Accent6 2 18 6" xfId="5706"/>
    <cellStyle name="40% - Accent6 2 18 7" xfId="5707"/>
    <cellStyle name="40% - Accent6 2 18 8" xfId="5708"/>
    <cellStyle name="40% - Accent6 2 19" xfId="5709"/>
    <cellStyle name="40% - Accent6 2 2" xfId="5710"/>
    <cellStyle name="40% - Accent6 2 2 2" xfId="5711"/>
    <cellStyle name="40% - Accent6 2 2 3" xfId="5712"/>
    <cellStyle name="40% - Accent6 2 2 4" xfId="5713"/>
    <cellStyle name="40% - Accent6 2 2 5" xfId="5714"/>
    <cellStyle name="40% - Accent6 2 2 6" xfId="5715"/>
    <cellStyle name="40% - Accent6 2 2 7" xfId="5716"/>
    <cellStyle name="40% - Accent6 2 2 8" xfId="5717"/>
    <cellStyle name="40% - Accent6 2 20" xfId="5718"/>
    <cellStyle name="40% - Accent6 2 21" xfId="5719"/>
    <cellStyle name="40% - Accent6 2 22" xfId="5720"/>
    <cellStyle name="40% - Accent6 2 23" xfId="5721"/>
    <cellStyle name="40% - Accent6 2 24" xfId="5722"/>
    <cellStyle name="40% - Accent6 2 25" xfId="5723"/>
    <cellStyle name="40% - Accent6 2 26" xfId="5724"/>
    <cellStyle name="40% - Accent6 2 27" xfId="5725"/>
    <cellStyle name="40% - Accent6 2 28" xfId="5726"/>
    <cellStyle name="40% - Accent6 2 29" xfId="5727"/>
    <cellStyle name="40% - Accent6 2 3" xfId="5728"/>
    <cellStyle name="40% - Accent6 2 3 2" xfId="5729"/>
    <cellStyle name="40% - Accent6 2 3 3" xfId="5730"/>
    <cellStyle name="40% - Accent6 2 3 4" xfId="5731"/>
    <cellStyle name="40% - Accent6 2 3 5" xfId="5732"/>
    <cellStyle name="40% - Accent6 2 3 6" xfId="5733"/>
    <cellStyle name="40% - Accent6 2 3 7" xfId="5734"/>
    <cellStyle name="40% - Accent6 2 3 8" xfId="5735"/>
    <cellStyle name="40% - Accent6 2 30" xfId="5736"/>
    <cellStyle name="40% - Accent6 2 31" xfId="5737"/>
    <cellStyle name="40% - Accent6 2 32" xfId="5738"/>
    <cellStyle name="40% - Accent6 2 33" xfId="5739"/>
    <cellStyle name="40% - Accent6 2 34" xfId="5740"/>
    <cellStyle name="40% - Accent6 2 35" xfId="5741"/>
    <cellStyle name="40% - Accent6 2 36" xfId="5742"/>
    <cellStyle name="40% - Accent6 2 37" xfId="5743"/>
    <cellStyle name="40% - Accent6 2 38" xfId="5744"/>
    <cellStyle name="40% - Accent6 2 4" xfId="5745"/>
    <cellStyle name="40% - Accent6 2 4 2" xfId="5746"/>
    <cellStyle name="40% - Accent6 2 4 3" xfId="5747"/>
    <cellStyle name="40% - Accent6 2 4 4" xfId="5748"/>
    <cellStyle name="40% - Accent6 2 4 5" xfId="5749"/>
    <cellStyle name="40% - Accent6 2 4 6" xfId="5750"/>
    <cellStyle name="40% - Accent6 2 4 7" xfId="5751"/>
    <cellStyle name="40% - Accent6 2 4 8" xfId="5752"/>
    <cellStyle name="40% - Accent6 2 5" xfId="5753"/>
    <cellStyle name="40% - Accent6 2 5 2" xfId="5754"/>
    <cellStyle name="40% - Accent6 2 5 3" xfId="5755"/>
    <cellStyle name="40% - Accent6 2 5 4" xfId="5756"/>
    <cellStyle name="40% - Accent6 2 5 5" xfId="5757"/>
    <cellStyle name="40% - Accent6 2 5 6" xfId="5758"/>
    <cellStyle name="40% - Accent6 2 5 7" xfId="5759"/>
    <cellStyle name="40% - Accent6 2 5 8" xfId="5760"/>
    <cellStyle name="40% - Accent6 2 6" xfId="5761"/>
    <cellStyle name="40% - Accent6 2 6 2" xfId="5762"/>
    <cellStyle name="40% - Accent6 2 6 3" xfId="5763"/>
    <cellStyle name="40% - Accent6 2 6 4" xfId="5764"/>
    <cellStyle name="40% - Accent6 2 6 5" xfId="5765"/>
    <cellStyle name="40% - Accent6 2 6 6" xfId="5766"/>
    <cellStyle name="40% - Accent6 2 6 7" xfId="5767"/>
    <cellStyle name="40% - Accent6 2 6 8" xfId="5768"/>
    <cellStyle name="40% - Accent6 2 7" xfId="5769"/>
    <cellStyle name="40% - Accent6 2 7 2" xfId="5770"/>
    <cellStyle name="40% - Accent6 2 7 3" xfId="5771"/>
    <cellStyle name="40% - Accent6 2 7 4" xfId="5772"/>
    <cellStyle name="40% - Accent6 2 7 5" xfId="5773"/>
    <cellStyle name="40% - Accent6 2 7 6" xfId="5774"/>
    <cellStyle name="40% - Accent6 2 7 7" xfId="5775"/>
    <cellStyle name="40% - Accent6 2 7 8" xfId="5776"/>
    <cellStyle name="40% - Accent6 2 8" xfId="5777"/>
    <cellStyle name="40% - Accent6 2 8 2" xfId="5778"/>
    <cellStyle name="40% - Accent6 2 8 3" xfId="5779"/>
    <cellStyle name="40% - Accent6 2 8 4" xfId="5780"/>
    <cellStyle name="40% - Accent6 2 8 5" xfId="5781"/>
    <cellStyle name="40% - Accent6 2 8 6" xfId="5782"/>
    <cellStyle name="40% - Accent6 2 8 7" xfId="5783"/>
    <cellStyle name="40% - Accent6 2 8 8" xfId="5784"/>
    <cellStyle name="40% - Accent6 2 9" xfId="5785"/>
    <cellStyle name="40% - Accent6 2 9 2" xfId="5786"/>
    <cellStyle name="40% - Accent6 2 9 3" xfId="5787"/>
    <cellStyle name="40% - Accent6 2 9 4" xfId="5788"/>
    <cellStyle name="40% - Accent6 2 9 5" xfId="5789"/>
    <cellStyle name="40% - Accent6 2 9 6" xfId="5790"/>
    <cellStyle name="40% - Accent6 2 9 7" xfId="5791"/>
    <cellStyle name="40% - Accent6 2 9 8" xfId="5792"/>
    <cellStyle name="40% - Accent6 3" xfId="5793"/>
    <cellStyle name="40% - Accent6 3 10" xfId="5794"/>
    <cellStyle name="40% - Accent6 3 10 2" xfId="5795"/>
    <cellStyle name="40% - Accent6 3 10 3" xfId="5796"/>
    <cellStyle name="40% - Accent6 3 10 4" xfId="5797"/>
    <cellStyle name="40% - Accent6 3 10 5" xfId="5798"/>
    <cellStyle name="40% - Accent6 3 10 6" xfId="5799"/>
    <cellStyle name="40% - Accent6 3 10 7" xfId="5800"/>
    <cellStyle name="40% - Accent6 3 10 8" xfId="5801"/>
    <cellStyle name="40% - Accent6 3 11" xfId="5802"/>
    <cellStyle name="40% - Accent6 3 11 2" xfId="5803"/>
    <cellStyle name="40% - Accent6 3 11 3" xfId="5804"/>
    <cellStyle name="40% - Accent6 3 11 4" xfId="5805"/>
    <cellStyle name="40% - Accent6 3 11 5" xfId="5806"/>
    <cellStyle name="40% - Accent6 3 11 6" xfId="5807"/>
    <cellStyle name="40% - Accent6 3 11 7" xfId="5808"/>
    <cellStyle name="40% - Accent6 3 11 8" xfId="5809"/>
    <cellStyle name="40% - Accent6 3 12" xfId="5810"/>
    <cellStyle name="40% - Accent6 3 12 2" xfId="5811"/>
    <cellStyle name="40% - Accent6 3 12 3" xfId="5812"/>
    <cellStyle name="40% - Accent6 3 12 4" xfId="5813"/>
    <cellStyle name="40% - Accent6 3 12 5" xfId="5814"/>
    <cellStyle name="40% - Accent6 3 12 6" xfId="5815"/>
    <cellStyle name="40% - Accent6 3 12 7" xfId="5816"/>
    <cellStyle name="40% - Accent6 3 12 8" xfId="5817"/>
    <cellStyle name="40% - Accent6 3 13" xfId="5818"/>
    <cellStyle name="40% - Accent6 3 13 2" xfId="5819"/>
    <cellStyle name="40% - Accent6 3 13 3" xfId="5820"/>
    <cellStyle name="40% - Accent6 3 13 4" xfId="5821"/>
    <cellStyle name="40% - Accent6 3 13 5" xfId="5822"/>
    <cellStyle name="40% - Accent6 3 13 6" xfId="5823"/>
    <cellStyle name="40% - Accent6 3 13 7" xfId="5824"/>
    <cellStyle name="40% - Accent6 3 13 8" xfId="5825"/>
    <cellStyle name="40% - Accent6 3 14" xfId="5826"/>
    <cellStyle name="40% - Accent6 3 14 2" xfId="5827"/>
    <cellStyle name="40% - Accent6 3 14 3" xfId="5828"/>
    <cellStyle name="40% - Accent6 3 14 4" xfId="5829"/>
    <cellStyle name="40% - Accent6 3 14 5" xfId="5830"/>
    <cellStyle name="40% - Accent6 3 14 6" xfId="5831"/>
    <cellStyle name="40% - Accent6 3 14 7" xfId="5832"/>
    <cellStyle name="40% - Accent6 3 14 8" xfId="5833"/>
    <cellStyle name="40% - Accent6 3 15" xfId="5834"/>
    <cellStyle name="40% - Accent6 3 15 2" xfId="5835"/>
    <cellStyle name="40% - Accent6 3 15 3" xfId="5836"/>
    <cellStyle name="40% - Accent6 3 15 4" xfId="5837"/>
    <cellStyle name="40% - Accent6 3 15 5" xfId="5838"/>
    <cellStyle name="40% - Accent6 3 15 6" xfId="5839"/>
    <cellStyle name="40% - Accent6 3 15 7" xfId="5840"/>
    <cellStyle name="40% - Accent6 3 15 8" xfId="5841"/>
    <cellStyle name="40% - Accent6 3 16" xfId="5842"/>
    <cellStyle name="40% - Accent6 3 16 2" xfId="5843"/>
    <cellStyle name="40% - Accent6 3 16 3" xfId="5844"/>
    <cellStyle name="40% - Accent6 3 16 4" xfId="5845"/>
    <cellStyle name="40% - Accent6 3 16 5" xfId="5846"/>
    <cellStyle name="40% - Accent6 3 16 6" xfId="5847"/>
    <cellStyle name="40% - Accent6 3 16 7" xfId="5848"/>
    <cellStyle name="40% - Accent6 3 16 8" xfId="5849"/>
    <cellStyle name="40% - Accent6 3 17" xfId="5850"/>
    <cellStyle name="40% - Accent6 3 17 2" xfId="5851"/>
    <cellStyle name="40% - Accent6 3 17 3" xfId="5852"/>
    <cellStyle name="40% - Accent6 3 17 4" xfId="5853"/>
    <cellStyle name="40% - Accent6 3 17 5" xfId="5854"/>
    <cellStyle name="40% - Accent6 3 17 6" xfId="5855"/>
    <cellStyle name="40% - Accent6 3 17 7" xfId="5856"/>
    <cellStyle name="40% - Accent6 3 17 8" xfId="5857"/>
    <cellStyle name="40% - Accent6 3 18" xfId="5858"/>
    <cellStyle name="40% - Accent6 3 18 2" xfId="5859"/>
    <cellStyle name="40% - Accent6 3 18 3" xfId="5860"/>
    <cellStyle name="40% - Accent6 3 18 4" xfId="5861"/>
    <cellStyle name="40% - Accent6 3 18 5" xfId="5862"/>
    <cellStyle name="40% - Accent6 3 18 6" xfId="5863"/>
    <cellStyle name="40% - Accent6 3 18 7" xfId="5864"/>
    <cellStyle name="40% - Accent6 3 18 8" xfId="5865"/>
    <cellStyle name="40% - Accent6 3 19" xfId="5866"/>
    <cellStyle name="40% - Accent6 3 2" xfId="5867"/>
    <cellStyle name="40% - Accent6 3 2 2" xfId="5868"/>
    <cellStyle name="40% - Accent6 3 2 3" xfId="5869"/>
    <cellStyle name="40% - Accent6 3 2 4" xfId="5870"/>
    <cellStyle name="40% - Accent6 3 2 5" xfId="5871"/>
    <cellStyle name="40% - Accent6 3 2 6" xfId="5872"/>
    <cellStyle name="40% - Accent6 3 2 7" xfId="5873"/>
    <cellStyle name="40% - Accent6 3 2 8" xfId="5874"/>
    <cellStyle name="40% - Accent6 3 20" xfId="5875"/>
    <cellStyle name="40% - Accent6 3 21" xfId="5876"/>
    <cellStyle name="40% - Accent6 3 22" xfId="5877"/>
    <cellStyle name="40% - Accent6 3 23" xfId="5878"/>
    <cellStyle name="40% - Accent6 3 24" xfId="5879"/>
    <cellStyle name="40% - Accent6 3 25" xfId="5880"/>
    <cellStyle name="40% - Accent6 3 26" xfId="5881"/>
    <cellStyle name="40% - Accent6 3 27" xfId="5882"/>
    <cellStyle name="40% - Accent6 3 28" xfId="5883"/>
    <cellStyle name="40% - Accent6 3 29" xfId="5884"/>
    <cellStyle name="40% - Accent6 3 3" xfId="5885"/>
    <cellStyle name="40% - Accent6 3 3 2" xfId="5886"/>
    <cellStyle name="40% - Accent6 3 3 3" xfId="5887"/>
    <cellStyle name="40% - Accent6 3 3 4" xfId="5888"/>
    <cellStyle name="40% - Accent6 3 3 5" xfId="5889"/>
    <cellStyle name="40% - Accent6 3 3 6" xfId="5890"/>
    <cellStyle name="40% - Accent6 3 3 7" xfId="5891"/>
    <cellStyle name="40% - Accent6 3 3 8" xfId="5892"/>
    <cellStyle name="40% - Accent6 3 30" xfId="5893"/>
    <cellStyle name="40% - Accent6 3 31" xfId="5894"/>
    <cellStyle name="40% - Accent6 3 32" xfId="5895"/>
    <cellStyle name="40% - Accent6 3 33" xfId="5896"/>
    <cellStyle name="40% - Accent6 3 34" xfId="5897"/>
    <cellStyle name="40% - Accent6 3 35" xfId="5898"/>
    <cellStyle name="40% - Accent6 3 4" xfId="5899"/>
    <cellStyle name="40% - Accent6 3 4 2" xfId="5900"/>
    <cellStyle name="40% - Accent6 3 4 3" xfId="5901"/>
    <cellStyle name="40% - Accent6 3 4 4" xfId="5902"/>
    <cellStyle name="40% - Accent6 3 4 5" xfId="5903"/>
    <cellStyle name="40% - Accent6 3 4 6" xfId="5904"/>
    <cellStyle name="40% - Accent6 3 4 7" xfId="5905"/>
    <cellStyle name="40% - Accent6 3 4 8" xfId="5906"/>
    <cellStyle name="40% - Accent6 3 5" xfId="5907"/>
    <cellStyle name="40% - Accent6 3 5 2" xfId="5908"/>
    <cellStyle name="40% - Accent6 3 5 3" xfId="5909"/>
    <cellStyle name="40% - Accent6 3 5 4" xfId="5910"/>
    <cellStyle name="40% - Accent6 3 5 5" xfId="5911"/>
    <cellStyle name="40% - Accent6 3 5 6" xfId="5912"/>
    <cellStyle name="40% - Accent6 3 5 7" xfId="5913"/>
    <cellStyle name="40% - Accent6 3 5 8" xfId="5914"/>
    <cellStyle name="40% - Accent6 3 6" xfId="5915"/>
    <cellStyle name="40% - Accent6 3 6 2" xfId="5916"/>
    <cellStyle name="40% - Accent6 3 6 3" xfId="5917"/>
    <cellStyle name="40% - Accent6 3 6 4" xfId="5918"/>
    <cellStyle name="40% - Accent6 3 6 5" xfId="5919"/>
    <cellStyle name="40% - Accent6 3 6 6" xfId="5920"/>
    <cellStyle name="40% - Accent6 3 6 7" xfId="5921"/>
    <cellStyle name="40% - Accent6 3 6 8" xfId="5922"/>
    <cellStyle name="40% - Accent6 3 7" xfId="5923"/>
    <cellStyle name="40% - Accent6 3 7 2" xfId="5924"/>
    <cellStyle name="40% - Accent6 3 7 3" xfId="5925"/>
    <cellStyle name="40% - Accent6 3 7 4" xfId="5926"/>
    <cellStyle name="40% - Accent6 3 7 5" xfId="5927"/>
    <cellStyle name="40% - Accent6 3 7 6" xfId="5928"/>
    <cellStyle name="40% - Accent6 3 7 7" xfId="5929"/>
    <cellStyle name="40% - Accent6 3 7 8" xfId="5930"/>
    <cellStyle name="40% - Accent6 3 8" xfId="5931"/>
    <cellStyle name="40% - Accent6 3 8 2" xfId="5932"/>
    <cellStyle name="40% - Accent6 3 8 3" xfId="5933"/>
    <cellStyle name="40% - Accent6 3 8 4" xfId="5934"/>
    <cellStyle name="40% - Accent6 3 8 5" xfId="5935"/>
    <cellStyle name="40% - Accent6 3 8 6" xfId="5936"/>
    <cellStyle name="40% - Accent6 3 8 7" xfId="5937"/>
    <cellStyle name="40% - Accent6 3 8 8" xfId="5938"/>
    <cellStyle name="40% - Accent6 3 9" xfId="5939"/>
    <cellStyle name="40% - Accent6 3 9 2" xfId="5940"/>
    <cellStyle name="40% - Accent6 3 9 3" xfId="5941"/>
    <cellStyle name="40% - Accent6 3 9 4" xfId="5942"/>
    <cellStyle name="40% - Accent6 3 9 5" xfId="5943"/>
    <cellStyle name="40% - Accent6 3 9 6" xfId="5944"/>
    <cellStyle name="40% - Accent6 3 9 7" xfId="5945"/>
    <cellStyle name="40% - Accent6 3 9 8" xfId="5946"/>
    <cellStyle name="40% - Accent6 4" xfId="5947"/>
    <cellStyle name="40% - Accent6 4 10" xfId="5948"/>
    <cellStyle name="40% - Accent6 4 10 2" xfId="5949"/>
    <cellStyle name="40% - Accent6 4 10 3" xfId="5950"/>
    <cellStyle name="40% - Accent6 4 10 4" xfId="5951"/>
    <cellStyle name="40% - Accent6 4 10 5" xfId="5952"/>
    <cellStyle name="40% - Accent6 4 10 6" xfId="5953"/>
    <cellStyle name="40% - Accent6 4 10 7" xfId="5954"/>
    <cellStyle name="40% - Accent6 4 10 8" xfId="5955"/>
    <cellStyle name="40% - Accent6 4 11" xfId="5956"/>
    <cellStyle name="40% - Accent6 4 11 2" xfId="5957"/>
    <cellStyle name="40% - Accent6 4 11 3" xfId="5958"/>
    <cellStyle name="40% - Accent6 4 11 4" xfId="5959"/>
    <cellStyle name="40% - Accent6 4 11 5" xfId="5960"/>
    <cellStyle name="40% - Accent6 4 11 6" xfId="5961"/>
    <cellStyle name="40% - Accent6 4 11 7" xfId="5962"/>
    <cellStyle name="40% - Accent6 4 11 8" xfId="5963"/>
    <cellStyle name="40% - Accent6 4 12" xfId="5964"/>
    <cellStyle name="40% - Accent6 4 12 2" xfId="5965"/>
    <cellStyle name="40% - Accent6 4 12 3" xfId="5966"/>
    <cellStyle name="40% - Accent6 4 12 4" xfId="5967"/>
    <cellStyle name="40% - Accent6 4 12 5" xfId="5968"/>
    <cellStyle name="40% - Accent6 4 12 6" xfId="5969"/>
    <cellStyle name="40% - Accent6 4 12 7" xfId="5970"/>
    <cellStyle name="40% - Accent6 4 12 8" xfId="5971"/>
    <cellStyle name="40% - Accent6 4 13" xfId="5972"/>
    <cellStyle name="40% - Accent6 4 13 2" xfId="5973"/>
    <cellStyle name="40% - Accent6 4 13 3" xfId="5974"/>
    <cellStyle name="40% - Accent6 4 13 4" xfId="5975"/>
    <cellStyle name="40% - Accent6 4 13 5" xfId="5976"/>
    <cellStyle name="40% - Accent6 4 13 6" xfId="5977"/>
    <cellStyle name="40% - Accent6 4 13 7" xfId="5978"/>
    <cellStyle name="40% - Accent6 4 13 8" xfId="5979"/>
    <cellStyle name="40% - Accent6 4 14" xfId="5980"/>
    <cellStyle name="40% - Accent6 4 14 2" xfId="5981"/>
    <cellStyle name="40% - Accent6 4 14 3" xfId="5982"/>
    <cellStyle name="40% - Accent6 4 14 4" xfId="5983"/>
    <cellStyle name="40% - Accent6 4 14 5" xfId="5984"/>
    <cellStyle name="40% - Accent6 4 14 6" xfId="5985"/>
    <cellStyle name="40% - Accent6 4 14 7" xfId="5986"/>
    <cellStyle name="40% - Accent6 4 14 8" xfId="5987"/>
    <cellStyle name="40% - Accent6 4 15" xfId="5988"/>
    <cellStyle name="40% - Accent6 4 15 2" xfId="5989"/>
    <cellStyle name="40% - Accent6 4 15 3" xfId="5990"/>
    <cellStyle name="40% - Accent6 4 15 4" xfId="5991"/>
    <cellStyle name="40% - Accent6 4 15 5" xfId="5992"/>
    <cellStyle name="40% - Accent6 4 15 6" xfId="5993"/>
    <cellStyle name="40% - Accent6 4 15 7" xfId="5994"/>
    <cellStyle name="40% - Accent6 4 15 8" xfId="5995"/>
    <cellStyle name="40% - Accent6 4 16" xfId="5996"/>
    <cellStyle name="40% - Accent6 4 16 2" xfId="5997"/>
    <cellStyle name="40% - Accent6 4 16 3" xfId="5998"/>
    <cellStyle name="40% - Accent6 4 16 4" xfId="5999"/>
    <cellStyle name="40% - Accent6 4 16 5" xfId="6000"/>
    <cellStyle name="40% - Accent6 4 16 6" xfId="6001"/>
    <cellStyle name="40% - Accent6 4 16 7" xfId="6002"/>
    <cellStyle name="40% - Accent6 4 16 8" xfId="6003"/>
    <cellStyle name="40% - Accent6 4 17" xfId="6004"/>
    <cellStyle name="40% - Accent6 4 17 2" xfId="6005"/>
    <cellStyle name="40% - Accent6 4 17 3" xfId="6006"/>
    <cellStyle name="40% - Accent6 4 17 4" xfId="6007"/>
    <cellStyle name="40% - Accent6 4 17 5" xfId="6008"/>
    <cellStyle name="40% - Accent6 4 17 6" xfId="6009"/>
    <cellStyle name="40% - Accent6 4 17 7" xfId="6010"/>
    <cellStyle name="40% - Accent6 4 17 8" xfId="6011"/>
    <cellStyle name="40% - Accent6 4 18" xfId="6012"/>
    <cellStyle name="40% - Accent6 4 18 2" xfId="6013"/>
    <cellStyle name="40% - Accent6 4 18 3" xfId="6014"/>
    <cellStyle name="40% - Accent6 4 18 4" xfId="6015"/>
    <cellStyle name="40% - Accent6 4 18 5" xfId="6016"/>
    <cellStyle name="40% - Accent6 4 18 6" xfId="6017"/>
    <cellStyle name="40% - Accent6 4 18 7" xfId="6018"/>
    <cellStyle name="40% - Accent6 4 18 8" xfId="6019"/>
    <cellStyle name="40% - Accent6 4 19" xfId="6020"/>
    <cellStyle name="40% - Accent6 4 2" xfId="6021"/>
    <cellStyle name="40% - Accent6 4 2 2" xfId="6022"/>
    <cellStyle name="40% - Accent6 4 2 3" xfId="6023"/>
    <cellStyle name="40% - Accent6 4 2 4" xfId="6024"/>
    <cellStyle name="40% - Accent6 4 2 5" xfId="6025"/>
    <cellStyle name="40% - Accent6 4 2 6" xfId="6026"/>
    <cellStyle name="40% - Accent6 4 2 7" xfId="6027"/>
    <cellStyle name="40% - Accent6 4 2 8" xfId="6028"/>
    <cellStyle name="40% - Accent6 4 20" xfId="6029"/>
    <cellStyle name="40% - Accent6 4 21" xfId="6030"/>
    <cellStyle name="40% - Accent6 4 22" xfId="6031"/>
    <cellStyle name="40% - Accent6 4 23" xfId="6032"/>
    <cellStyle name="40% - Accent6 4 24" xfId="6033"/>
    <cellStyle name="40% - Accent6 4 25" xfId="6034"/>
    <cellStyle name="40% - Accent6 4 26" xfId="6035"/>
    <cellStyle name="40% - Accent6 4 27" xfId="6036"/>
    <cellStyle name="40% - Accent6 4 28" xfId="6037"/>
    <cellStyle name="40% - Accent6 4 29" xfId="6038"/>
    <cellStyle name="40% - Accent6 4 3" xfId="6039"/>
    <cellStyle name="40% - Accent6 4 3 2" xfId="6040"/>
    <cellStyle name="40% - Accent6 4 3 3" xfId="6041"/>
    <cellStyle name="40% - Accent6 4 3 4" xfId="6042"/>
    <cellStyle name="40% - Accent6 4 3 5" xfId="6043"/>
    <cellStyle name="40% - Accent6 4 3 6" xfId="6044"/>
    <cellStyle name="40% - Accent6 4 3 7" xfId="6045"/>
    <cellStyle name="40% - Accent6 4 3 8" xfId="6046"/>
    <cellStyle name="40% - Accent6 4 30" xfId="6047"/>
    <cellStyle name="40% - Accent6 4 31" xfId="6048"/>
    <cellStyle name="40% - Accent6 4 32" xfId="6049"/>
    <cellStyle name="40% - Accent6 4 33" xfId="6050"/>
    <cellStyle name="40% - Accent6 4 34" xfId="6051"/>
    <cellStyle name="40% - Accent6 4 35" xfId="6052"/>
    <cellStyle name="40% - Accent6 4 4" xfId="6053"/>
    <cellStyle name="40% - Accent6 4 4 2" xfId="6054"/>
    <cellStyle name="40% - Accent6 4 4 3" xfId="6055"/>
    <cellStyle name="40% - Accent6 4 4 4" xfId="6056"/>
    <cellStyle name="40% - Accent6 4 4 5" xfId="6057"/>
    <cellStyle name="40% - Accent6 4 4 6" xfId="6058"/>
    <cellStyle name="40% - Accent6 4 4 7" xfId="6059"/>
    <cellStyle name="40% - Accent6 4 4 8" xfId="6060"/>
    <cellStyle name="40% - Accent6 4 5" xfId="6061"/>
    <cellStyle name="40% - Accent6 4 5 2" xfId="6062"/>
    <cellStyle name="40% - Accent6 4 5 3" xfId="6063"/>
    <cellStyle name="40% - Accent6 4 5 4" xfId="6064"/>
    <cellStyle name="40% - Accent6 4 5 5" xfId="6065"/>
    <cellStyle name="40% - Accent6 4 5 6" xfId="6066"/>
    <cellStyle name="40% - Accent6 4 5 7" xfId="6067"/>
    <cellStyle name="40% - Accent6 4 5 8" xfId="6068"/>
    <cellStyle name="40% - Accent6 4 6" xfId="6069"/>
    <cellStyle name="40% - Accent6 4 6 2" xfId="6070"/>
    <cellStyle name="40% - Accent6 4 6 3" xfId="6071"/>
    <cellStyle name="40% - Accent6 4 6 4" xfId="6072"/>
    <cellStyle name="40% - Accent6 4 6 5" xfId="6073"/>
    <cellStyle name="40% - Accent6 4 6 6" xfId="6074"/>
    <cellStyle name="40% - Accent6 4 6 7" xfId="6075"/>
    <cellStyle name="40% - Accent6 4 6 8" xfId="6076"/>
    <cellStyle name="40% - Accent6 4 7" xfId="6077"/>
    <cellStyle name="40% - Accent6 4 7 2" xfId="6078"/>
    <cellStyle name="40% - Accent6 4 7 3" xfId="6079"/>
    <cellStyle name="40% - Accent6 4 7 4" xfId="6080"/>
    <cellStyle name="40% - Accent6 4 7 5" xfId="6081"/>
    <cellStyle name="40% - Accent6 4 7 6" xfId="6082"/>
    <cellStyle name="40% - Accent6 4 7 7" xfId="6083"/>
    <cellStyle name="40% - Accent6 4 7 8" xfId="6084"/>
    <cellStyle name="40% - Accent6 4 8" xfId="6085"/>
    <cellStyle name="40% - Accent6 4 8 2" xfId="6086"/>
    <cellStyle name="40% - Accent6 4 8 3" xfId="6087"/>
    <cellStyle name="40% - Accent6 4 8 4" xfId="6088"/>
    <cellStyle name="40% - Accent6 4 8 5" xfId="6089"/>
    <cellStyle name="40% - Accent6 4 8 6" xfId="6090"/>
    <cellStyle name="40% - Accent6 4 8 7" xfId="6091"/>
    <cellStyle name="40% - Accent6 4 8 8" xfId="6092"/>
    <cellStyle name="40% - Accent6 4 9" xfId="6093"/>
    <cellStyle name="40% - Accent6 4 9 2" xfId="6094"/>
    <cellStyle name="40% - Accent6 4 9 3" xfId="6095"/>
    <cellStyle name="40% - Accent6 4 9 4" xfId="6096"/>
    <cellStyle name="40% - Accent6 4 9 5" xfId="6097"/>
    <cellStyle name="40% - Accent6 4 9 6" xfId="6098"/>
    <cellStyle name="40% - Accent6 4 9 7" xfId="6099"/>
    <cellStyle name="40% - Accent6 4 9 8" xfId="6100"/>
    <cellStyle name="40% - Accent6 5" xfId="6101"/>
    <cellStyle name="40% - Accent6 5 10" xfId="6102"/>
    <cellStyle name="40% - Accent6 5 10 2" xfId="6103"/>
    <cellStyle name="40% - Accent6 5 10 3" xfId="6104"/>
    <cellStyle name="40% - Accent6 5 10 4" xfId="6105"/>
    <cellStyle name="40% - Accent6 5 10 5" xfId="6106"/>
    <cellStyle name="40% - Accent6 5 10 6" xfId="6107"/>
    <cellStyle name="40% - Accent6 5 10 7" xfId="6108"/>
    <cellStyle name="40% - Accent6 5 10 8" xfId="6109"/>
    <cellStyle name="40% - Accent6 5 11" xfId="6110"/>
    <cellStyle name="40% - Accent6 5 11 2" xfId="6111"/>
    <cellStyle name="40% - Accent6 5 11 3" xfId="6112"/>
    <cellStyle name="40% - Accent6 5 11 4" xfId="6113"/>
    <cellStyle name="40% - Accent6 5 11 5" xfId="6114"/>
    <cellStyle name="40% - Accent6 5 11 6" xfId="6115"/>
    <cellStyle name="40% - Accent6 5 11 7" xfId="6116"/>
    <cellStyle name="40% - Accent6 5 11 8" xfId="6117"/>
    <cellStyle name="40% - Accent6 5 12" xfId="6118"/>
    <cellStyle name="40% - Accent6 5 12 2" xfId="6119"/>
    <cellStyle name="40% - Accent6 5 12 3" xfId="6120"/>
    <cellStyle name="40% - Accent6 5 12 4" xfId="6121"/>
    <cellStyle name="40% - Accent6 5 12 5" xfId="6122"/>
    <cellStyle name="40% - Accent6 5 12 6" xfId="6123"/>
    <cellStyle name="40% - Accent6 5 12 7" xfId="6124"/>
    <cellStyle name="40% - Accent6 5 12 8" xfId="6125"/>
    <cellStyle name="40% - Accent6 5 13" xfId="6126"/>
    <cellStyle name="40% - Accent6 5 13 2" xfId="6127"/>
    <cellStyle name="40% - Accent6 5 13 3" xfId="6128"/>
    <cellStyle name="40% - Accent6 5 13 4" xfId="6129"/>
    <cellStyle name="40% - Accent6 5 13 5" xfId="6130"/>
    <cellStyle name="40% - Accent6 5 13 6" xfId="6131"/>
    <cellStyle name="40% - Accent6 5 13 7" xfId="6132"/>
    <cellStyle name="40% - Accent6 5 13 8" xfId="6133"/>
    <cellStyle name="40% - Accent6 5 14" xfId="6134"/>
    <cellStyle name="40% - Accent6 5 14 2" xfId="6135"/>
    <cellStyle name="40% - Accent6 5 14 3" xfId="6136"/>
    <cellStyle name="40% - Accent6 5 14 4" xfId="6137"/>
    <cellStyle name="40% - Accent6 5 14 5" xfId="6138"/>
    <cellStyle name="40% - Accent6 5 14 6" xfId="6139"/>
    <cellStyle name="40% - Accent6 5 14 7" xfId="6140"/>
    <cellStyle name="40% - Accent6 5 14 8" xfId="6141"/>
    <cellStyle name="40% - Accent6 5 15" xfId="6142"/>
    <cellStyle name="40% - Accent6 5 15 2" xfId="6143"/>
    <cellStyle name="40% - Accent6 5 15 3" xfId="6144"/>
    <cellStyle name="40% - Accent6 5 15 4" xfId="6145"/>
    <cellStyle name="40% - Accent6 5 15 5" xfId="6146"/>
    <cellStyle name="40% - Accent6 5 15 6" xfId="6147"/>
    <cellStyle name="40% - Accent6 5 15 7" xfId="6148"/>
    <cellStyle name="40% - Accent6 5 15 8" xfId="6149"/>
    <cellStyle name="40% - Accent6 5 16" xfId="6150"/>
    <cellStyle name="40% - Accent6 5 16 2" xfId="6151"/>
    <cellStyle name="40% - Accent6 5 16 3" xfId="6152"/>
    <cellStyle name="40% - Accent6 5 16 4" xfId="6153"/>
    <cellStyle name="40% - Accent6 5 16 5" xfId="6154"/>
    <cellStyle name="40% - Accent6 5 16 6" xfId="6155"/>
    <cellStyle name="40% - Accent6 5 16 7" xfId="6156"/>
    <cellStyle name="40% - Accent6 5 16 8" xfId="6157"/>
    <cellStyle name="40% - Accent6 5 17" xfId="6158"/>
    <cellStyle name="40% - Accent6 5 17 2" xfId="6159"/>
    <cellStyle name="40% - Accent6 5 17 3" xfId="6160"/>
    <cellStyle name="40% - Accent6 5 17 4" xfId="6161"/>
    <cellStyle name="40% - Accent6 5 17 5" xfId="6162"/>
    <cellStyle name="40% - Accent6 5 17 6" xfId="6163"/>
    <cellStyle name="40% - Accent6 5 17 7" xfId="6164"/>
    <cellStyle name="40% - Accent6 5 17 8" xfId="6165"/>
    <cellStyle name="40% - Accent6 5 18" xfId="6166"/>
    <cellStyle name="40% - Accent6 5 18 2" xfId="6167"/>
    <cellStyle name="40% - Accent6 5 18 3" xfId="6168"/>
    <cellStyle name="40% - Accent6 5 18 4" xfId="6169"/>
    <cellStyle name="40% - Accent6 5 18 5" xfId="6170"/>
    <cellStyle name="40% - Accent6 5 18 6" xfId="6171"/>
    <cellStyle name="40% - Accent6 5 18 7" xfId="6172"/>
    <cellStyle name="40% - Accent6 5 18 8" xfId="6173"/>
    <cellStyle name="40% - Accent6 5 19" xfId="6174"/>
    <cellStyle name="40% - Accent6 5 2" xfId="6175"/>
    <cellStyle name="40% - Accent6 5 2 2" xfId="6176"/>
    <cellStyle name="40% - Accent6 5 2 3" xfId="6177"/>
    <cellStyle name="40% - Accent6 5 2 4" xfId="6178"/>
    <cellStyle name="40% - Accent6 5 2 5" xfId="6179"/>
    <cellStyle name="40% - Accent6 5 2 6" xfId="6180"/>
    <cellStyle name="40% - Accent6 5 2 7" xfId="6181"/>
    <cellStyle name="40% - Accent6 5 2 8" xfId="6182"/>
    <cellStyle name="40% - Accent6 5 20" xfId="6183"/>
    <cellStyle name="40% - Accent6 5 21" xfId="6184"/>
    <cellStyle name="40% - Accent6 5 22" xfId="6185"/>
    <cellStyle name="40% - Accent6 5 23" xfId="6186"/>
    <cellStyle name="40% - Accent6 5 24" xfId="6187"/>
    <cellStyle name="40% - Accent6 5 25" xfId="6188"/>
    <cellStyle name="40% - Accent6 5 26" xfId="6189"/>
    <cellStyle name="40% - Accent6 5 27" xfId="6190"/>
    <cellStyle name="40% - Accent6 5 28" xfId="6191"/>
    <cellStyle name="40% - Accent6 5 29" xfId="6192"/>
    <cellStyle name="40% - Accent6 5 3" xfId="6193"/>
    <cellStyle name="40% - Accent6 5 3 2" xfId="6194"/>
    <cellStyle name="40% - Accent6 5 3 3" xfId="6195"/>
    <cellStyle name="40% - Accent6 5 3 4" xfId="6196"/>
    <cellStyle name="40% - Accent6 5 3 5" xfId="6197"/>
    <cellStyle name="40% - Accent6 5 3 6" xfId="6198"/>
    <cellStyle name="40% - Accent6 5 3 7" xfId="6199"/>
    <cellStyle name="40% - Accent6 5 3 8" xfId="6200"/>
    <cellStyle name="40% - Accent6 5 30" xfId="6201"/>
    <cellStyle name="40% - Accent6 5 31" xfId="6202"/>
    <cellStyle name="40% - Accent6 5 32" xfId="6203"/>
    <cellStyle name="40% - Accent6 5 33" xfId="6204"/>
    <cellStyle name="40% - Accent6 5 34" xfId="6205"/>
    <cellStyle name="40% - Accent6 5 35" xfId="6206"/>
    <cellStyle name="40% - Accent6 5 4" xfId="6207"/>
    <cellStyle name="40% - Accent6 5 4 2" xfId="6208"/>
    <cellStyle name="40% - Accent6 5 4 3" xfId="6209"/>
    <cellStyle name="40% - Accent6 5 4 4" xfId="6210"/>
    <cellStyle name="40% - Accent6 5 4 5" xfId="6211"/>
    <cellStyle name="40% - Accent6 5 4 6" xfId="6212"/>
    <cellStyle name="40% - Accent6 5 4 7" xfId="6213"/>
    <cellStyle name="40% - Accent6 5 4 8" xfId="6214"/>
    <cellStyle name="40% - Accent6 5 5" xfId="6215"/>
    <cellStyle name="40% - Accent6 5 5 2" xfId="6216"/>
    <cellStyle name="40% - Accent6 5 5 3" xfId="6217"/>
    <cellStyle name="40% - Accent6 5 5 4" xfId="6218"/>
    <cellStyle name="40% - Accent6 5 5 5" xfId="6219"/>
    <cellStyle name="40% - Accent6 5 5 6" xfId="6220"/>
    <cellStyle name="40% - Accent6 5 5 7" xfId="6221"/>
    <cellStyle name="40% - Accent6 5 5 8" xfId="6222"/>
    <cellStyle name="40% - Accent6 5 6" xfId="6223"/>
    <cellStyle name="40% - Accent6 5 6 2" xfId="6224"/>
    <cellStyle name="40% - Accent6 5 6 3" xfId="6225"/>
    <cellStyle name="40% - Accent6 5 6 4" xfId="6226"/>
    <cellStyle name="40% - Accent6 5 6 5" xfId="6227"/>
    <cellStyle name="40% - Accent6 5 6 6" xfId="6228"/>
    <cellStyle name="40% - Accent6 5 6 7" xfId="6229"/>
    <cellStyle name="40% - Accent6 5 6 8" xfId="6230"/>
    <cellStyle name="40% - Accent6 5 7" xfId="6231"/>
    <cellStyle name="40% - Accent6 5 7 2" xfId="6232"/>
    <cellStyle name="40% - Accent6 5 7 3" xfId="6233"/>
    <cellStyle name="40% - Accent6 5 7 4" xfId="6234"/>
    <cellStyle name="40% - Accent6 5 7 5" xfId="6235"/>
    <cellStyle name="40% - Accent6 5 7 6" xfId="6236"/>
    <cellStyle name="40% - Accent6 5 7 7" xfId="6237"/>
    <cellStyle name="40% - Accent6 5 7 8" xfId="6238"/>
    <cellStyle name="40% - Accent6 5 8" xfId="6239"/>
    <cellStyle name="40% - Accent6 5 8 2" xfId="6240"/>
    <cellStyle name="40% - Accent6 5 8 3" xfId="6241"/>
    <cellStyle name="40% - Accent6 5 8 4" xfId="6242"/>
    <cellStyle name="40% - Accent6 5 8 5" xfId="6243"/>
    <cellStyle name="40% - Accent6 5 8 6" xfId="6244"/>
    <cellStyle name="40% - Accent6 5 8 7" xfId="6245"/>
    <cellStyle name="40% - Accent6 5 8 8" xfId="6246"/>
    <cellStyle name="40% - Accent6 5 9" xfId="6247"/>
    <cellStyle name="40% - Accent6 5 9 2" xfId="6248"/>
    <cellStyle name="40% - Accent6 5 9 3" xfId="6249"/>
    <cellStyle name="40% - Accent6 5 9 4" xfId="6250"/>
    <cellStyle name="40% - Accent6 5 9 5" xfId="6251"/>
    <cellStyle name="40% - Accent6 5 9 6" xfId="6252"/>
    <cellStyle name="40% - Accent6 5 9 7" xfId="6253"/>
    <cellStyle name="40% - Accent6 5 9 8" xfId="6254"/>
    <cellStyle name="40% - Accent6 6" xfId="6255"/>
    <cellStyle name="60% - Accent1 2" xfId="6256"/>
    <cellStyle name="60% - Accent1 2 2" xfId="6257"/>
    <cellStyle name="60% - Accent1 2 3" xfId="6258"/>
    <cellStyle name="60% - Accent1 3" xfId="6259"/>
    <cellStyle name="60% - Accent1 4" xfId="6260"/>
    <cellStyle name="60% - Accent1 5" xfId="6261"/>
    <cellStyle name="60% - Accent1 6" xfId="6262"/>
    <cellStyle name="60% - Accent2 2" xfId="6263"/>
    <cellStyle name="60% - Accent2 2 2" xfId="6264"/>
    <cellStyle name="60% - Accent2 2 3" xfId="6265"/>
    <cellStyle name="60% - Accent2 3" xfId="6266"/>
    <cellStyle name="60% - Accent2 4" xfId="6267"/>
    <cellStyle name="60% - Accent2 5" xfId="6268"/>
    <cellStyle name="60% - Accent2 6" xfId="6269"/>
    <cellStyle name="60% - Accent3 2" xfId="6270"/>
    <cellStyle name="60% - Accent3 2 2" xfId="6271"/>
    <cellStyle name="60% - Accent3 2 3" xfId="6272"/>
    <cellStyle name="60% - Accent3 3" xfId="6273"/>
    <cellStyle name="60% - Accent3 4" xfId="6274"/>
    <cellStyle name="60% - Accent3 5" xfId="6275"/>
    <cellStyle name="60% - Accent3 6" xfId="6276"/>
    <cellStyle name="60% - Accent4 2" xfId="6277"/>
    <cellStyle name="60% - Accent4 2 2" xfId="6278"/>
    <cellStyle name="60% - Accent4 2 3" xfId="6279"/>
    <cellStyle name="60% - Accent4 3" xfId="6280"/>
    <cellStyle name="60% - Accent4 4" xfId="6281"/>
    <cellStyle name="60% - Accent4 5" xfId="6282"/>
    <cellStyle name="60% - Accent4 6" xfId="6283"/>
    <cellStyle name="60% - Accent5 2" xfId="6284"/>
    <cellStyle name="60% - Accent5 2 2" xfId="6285"/>
    <cellStyle name="60% - Accent5 2 3" xfId="6286"/>
    <cellStyle name="60% - Accent5 3" xfId="6287"/>
    <cellStyle name="60% - Accent5 4" xfId="6288"/>
    <cellStyle name="60% - Accent5 5" xfId="6289"/>
    <cellStyle name="60% - Accent5 6" xfId="6290"/>
    <cellStyle name="60% - Accent6 2" xfId="6291"/>
    <cellStyle name="60% - Accent6 2 2" xfId="6292"/>
    <cellStyle name="60% - Accent6 2 3" xfId="6293"/>
    <cellStyle name="60% - Accent6 3" xfId="6294"/>
    <cellStyle name="60% - Accent6 4" xfId="6295"/>
    <cellStyle name="60% - Accent6 5" xfId="6296"/>
    <cellStyle name="60% - Accent6 6" xfId="6297"/>
    <cellStyle name="Accent1 2" xfId="6298"/>
    <cellStyle name="Accent1 2 2" xfId="6299"/>
    <cellStyle name="Accent1 2 3" xfId="6300"/>
    <cellStyle name="Accent1 3" xfId="6301"/>
    <cellStyle name="Accent1 4" xfId="6302"/>
    <cellStyle name="Accent1 5" xfId="6303"/>
    <cellStyle name="Accent1 6" xfId="6304"/>
    <cellStyle name="Accent2 2" xfId="6305"/>
    <cellStyle name="Accent2 2 2" xfId="6306"/>
    <cellStyle name="Accent2 2 3" xfId="6307"/>
    <cellStyle name="Accent2 3" xfId="6308"/>
    <cellStyle name="Accent2 4" xfId="6309"/>
    <cellStyle name="Accent2 5" xfId="6310"/>
    <cellStyle name="Accent2 6" xfId="6311"/>
    <cellStyle name="Accent3 2" xfId="6312"/>
    <cellStyle name="Accent3 2 2" xfId="6313"/>
    <cellStyle name="Accent3 2 3" xfId="6314"/>
    <cellStyle name="Accent3 3" xfId="6315"/>
    <cellStyle name="Accent3 4" xfId="6316"/>
    <cellStyle name="Accent3 5" xfId="6317"/>
    <cellStyle name="Accent3 6" xfId="6318"/>
    <cellStyle name="Accent4 2" xfId="6319"/>
    <cellStyle name="Accent4 2 2" xfId="6320"/>
    <cellStyle name="Accent4 2 3" xfId="6321"/>
    <cellStyle name="Accent4 3" xfId="6322"/>
    <cellStyle name="Accent4 4" xfId="6323"/>
    <cellStyle name="Accent4 5" xfId="6324"/>
    <cellStyle name="Accent4 6" xfId="6325"/>
    <cellStyle name="Accent5 2" xfId="6326"/>
    <cellStyle name="Accent5 2 2" xfId="6327"/>
    <cellStyle name="Accent5 2 3" xfId="6328"/>
    <cellStyle name="Accent6 2" xfId="6329"/>
    <cellStyle name="Accent6 2 2" xfId="6330"/>
    <cellStyle name="Accent6 2 3" xfId="6331"/>
    <cellStyle name="Accent6 3" xfId="6332"/>
    <cellStyle name="Accent6 4" xfId="6333"/>
    <cellStyle name="Accent6 5" xfId="6334"/>
    <cellStyle name="Accent6 6" xfId="6335"/>
    <cellStyle name="Bad 2" xfId="6336"/>
    <cellStyle name="Bad 2 2" xfId="6337"/>
    <cellStyle name="Bad 2 3" xfId="6338"/>
    <cellStyle name="Bad 2 4" xfId="6339"/>
    <cellStyle name="Bad 3" xfId="6340"/>
    <cellStyle name="Bad 4" xfId="6341"/>
    <cellStyle name="Bad 5" xfId="6342"/>
    <cellStyle name="Bad 6" xfId="6343"/>
    <cellStyle name="Bad 8" xfId="6344"/>
    <cellStyle name="Bad 9" xfId="6345"/>
    <cellStyle name="Calculation 2" xfId="6346"/>
    <cellStyle name="Calculation 2 10" xfId="6347"/>
    <cellStyle name="Calculation 2 11" xfId="6348"/>
    <cellStyle name="Calculation 2 12" xfId="6349"/>
    <cellStyle name="Calculation 2 13" xfId="6350"/>
    <cellStyle name="Calculation 2 14" xfId="6351"/>
    <cellStyle name="Calculation 2 15" xfId="6352"/>
    <cellStyle name="Calculation 2 16" xfId="6353"/>
    <cellStyle name="Calculation 2 17" xfId="6354"/>
    <cellStyle name="Calculation 2 18" xfId="6355"/>
    <cellStyle name="Calculation 2 19" xfId="6356"/>
    <cellStyle name="Calculation 2 2" xfId="6357"/>
    <cellStyle name="Calculation 2 2 2" xfId="6358"/>
    <cellStyle name="Calculation 2 2 2 2" xfId="6359"/>
    <cellStyle name="Calculation 2 20" xfId="6360"/>
    <cellStyle name="Calculation 2 21" xfId="6361"/>
    <cellStyle name="Calculation 2 3" xfId="6362"/>
    <cellStyle name="Calculation 2 4" xfId="6363"/>
    <cellStyle name="Calculation 2 5" xfId="6364"/>
    <cellStyle name="Calculation 2 6" xfId="6365"/>
    <cellStyle name="Calculation 2 7" xfId="6366"/>
    <cellStyle name="Calculation 2 8" xfId="6367"/>
    <cellStyle name="Calculation 2 9" xfId="6368"/>
    <cellStyle name="Calculation 3" xfId="6369"/>
    <cellStyle name="Calculation 3 10" xfId="6370"/>
    <cellStyle name="Calculation 3 11" xfId="6371"/>
    <cellStyle name="Calculation 3 12" xfId="6372"/>
    <cellStyle name="Calculation 3 13" xfId="6373"/>
    <cellStyle name="Calculation 3 14" xfId="6374"/>
    <cellStyle name="Calculation 3 15" xfId="6375"/>
    <cellStyle name="Calculation 3 16" xfId="6376"/>
    <cellStyle name="Calculation 3 17" xfId="6377"/>
    <cellStyle name="Calculation 3 18" xfId="6378"/>
    <cellStyle name="Calculation 3 19" xfId="6379"/>
    <cellStyle name="Calculation 3 2" xfId="6380"/>
    <cellStyle name="Calculation 3 3" xfId="6381"/>
    <cellStyle name="Calculation 3 4" xfId="6382"/>
    <cellStyle name="Calculation 3 5" xfId="6383"/>
    <cellStyle name="Calculation 3 6" xfId="6384"/>
    <cellStyle name="Calculation 3 7" xfId="6385"/>
    <cellStyle name="Calculation 3 8" xfId="6386"/>
    <cellStyle name="Calculation 3 9" xfId="6387"/>
    <cellStyle name="Calculation 4" xfId="6388"/>
    <cellStyle name="Calculation 4 10" xfId="6389"/>
    <cellStyle name="Calculation 4 11" xfId="6390"/>
    <cellStyle name="Calculation 4 12" xfId="6391"/>
    <cellStyle name="Calculation 4 13" xfId="6392"/>
    <cellStyle name="Calculation 4 14" xfId="6393"/>
    <cellStyle name="Calculation 4 15" xfId="6394"/>
    <cellStyle name="Calculation 4 16" xfId="6395"/>
    <cellStyle name="Calculation 4 17" xfId="6396"/>
    <cellStyle name="Calculation 4 18" xfId="6397"/>
    <cellStyle name="Calculation 4 19" xfId="6398"/>
    <cellStyle name="Calculation 4 2" xfId="6399"/>
    <cellStyle name="Calculation 4 3" xfId="6400"/>
    <cellStyle name="Calculation 4 4" xfId="6401"/>
    <cellStyle name="Calculation 4 5" xfId="6402"/>
    <cellStyle name="Calculation 4 6" xfId="6403"/>
    <cellStyle name="Calculation 4 7" xfId="6404"/>
    <cellStyle name="Calculation 4 8" xfId="6405"/>
    <cellStyle name="Calculation 4 9" xfId="6406"/>
    <cellStyle name="Calculation 5" xfId="6407"/>
    <cellStyle name="Calculation 5 10" xfId="6408"/>
    <cellStyle name="Calculation 5 11" xfId="6409"/>
    <cellStyle name="Calculation 5 12" xfId="6410"/>
    <cellStyle name="Calculation 5 13" xfId="6411"/>
    <cellStyle name="Calculation 5 14" xfId="6412"/>
    <cellStyle name="Calculation 5 15" xfId="6413"/>
    <cellStyle name="Calculation 5 16" xfId="6414"/>
    <cellStyle name="Calculation 5 17" xfId="6415"/>
    <cellStyle name="Calculation 5 18" xfId="6416"/>
    <cellStyle name="Calculation 5 19" xfId="6417"/>
    <cellStyle name="Calculation 5 2" xfId="6418"/>
    <cellStyle name="Calculation 5 3" xfId="6419"/>
    <cellStyle name="Calculation 5 4" xfId="6420"/>
    <cellStyle name="Calculation 5 5" xfId="6421"/>
    <cellStyle name="Calculation 5 6" xfId="6422"/>
    <cellStyle name="Calculation 5 7" xfId="6423"/>
    <cellStyle name="Calculation 5 8" xfId="6424"/>
    <cellStyle name="Calculation 5 9" xfId="6425"/>
    <cellStyle name="Calculation 6" xfId="6426"/>
    <cellStyle name="Calculation 6 2" xfId="6427"/>
    <cellStyle name="Calculation 6 3" xfId="6428"/>
    <cellStyle name="Check Cell 2" xfId="6429"/>
    <cellStyle name="Check Cell 2 2" xfId="6430"/>
    <cellStyle name="Check Cell 2 3" xfId="6431"/>
    <cellStyle name="Comma" xfId="1" builtinId="3"/>
    <cellStyle name="Comma [0] 10" xfId="6432"/>
    <cellStyle name="Comma [0] 11" xfId="6433"/>
    <cellStyle name="Comma [0] 2" xfId="6434"/>
    <cellStyle name="Comma [0] 2 10" xfId="6435"/>
    <cellStyle name="Comma [0] 2 2" xfId="6436"/>
    <cellStyle name="Comma [0] 2 2 2" xfId="6437"/>
    <cellStyle name="Comma [0] 2 2 2 10" xfId="6438"/>
    <cellStyle name="Comma [0] 2 2 2 10 2" xfId="6439"/>
    <cellStyle name="Comma [0] 2 2 2 10 3" xfId="6440"/>
    <cellStyle name="Comma [0] 2 2 2 11" xfId="6441"/>
    <cellStyle name="Comma [0] 2 2 2 12" xfId="6442"/>
    <cellStyle name="Comma [0] 2 2 2 2" xfId="6443"/>
    <cellStyle name="Comma [0] 2 2 2 2 10" xfId="6444"/>
    <cellStyle name="Comma [0] 2 2 2 2 2" xfId="6445"/>
    <cellStyle name="Comma [0] 2 2 2 2 2 2" xfId="6446"/>
    <cellStyle name="Comma [0] 2 2 2 2 2 2 2" xfId="6447"/>
    <cellStyle name="Comma [0] 2 2 2 2 2 2 2 2" xfId="6448"/>
    <cellStyle name="Comma [0] 2 2 2 2 2 2 2 3" xfId="6449"/>
    <cellStyle name="Comma [0] 2 2 2 2 2 2 3" xfId="6450"/>
    <cellStyle name="Comma [0] 2 2 2 2 2 2 4" xfId="6451"/>
    <cellStyle name="Comma [0] 2 2 2 2 2 3" xfId="6452"/>
    <cellStyle name="Comma [0] 2 2 2 2 2 3 2" xfId="6453"/>
    <cellStyle name="Comma [0] 2 2 2 2 2 3 3" xfId="6454"/>
    <cellStyle name="Comma [0] 2 2 2 2 2 4" xfId="6455"/>
    <cellStyle name="Comma [0] 2 2 2 2 2 5" xfId="6456"/>
    <cellStyle name="Comma [0] 2 2 2 2 3" xfId="6457"/>
    <cellStyle name="Comma [0] 2 2 2 2 3 2" xfId="6458"/>
    <cellStyle name="Comma [0] 2 2 2 2 3 2 2" xfId="6459"/>
    <cellStyle name="Comma [0] 2 2 2 2 3 2 2 2" xfId="6460"/>
    <cellStyle name="Comma [0] 2 2 2 2 3 2 2 3" xfId="6461"/>
    <cellStyle name="Comma [0] 2 2 2 2 3 2 3" xfId="6462"/>
    <cellStyle name="Comma [0] 2 2 2 2 3 2 4" xfId="6463"/>
    <cellStyle name="Comma [0] 2 2 2 2 3 3" xfId="6464"/>
    <cellStyle name="Comma [0] 2 2 2 2 3 3 2" xfId="6465"/>
    <cellStyle name="Comma [0] 2 2 2 2 3 3 3" xfId="6466"/>
    <cellStyle name="Comma [0] 2 2 2 2 3 4" xfId="6467"/>
    <cellStyle name="Comma [0] 2 2 2 2 3 5" xfId="6468"/>
    <cellStyle name="Comma [0] 2 2 2 2 4" xfId="6469"/>
    <cellStyle name="Comma [0] 2 2 2 2 4 2" xfId="6470"/>
    <cellStyle name="Comma [0] 2 2 2 2 4 2 2" xfId="6471"/>
    <cellStyle name="Comma [0] 2 2 2 2 4 2 2 2" xfId="6472"/>
    <cellStyle name="Comma [0] 2 2 2 2 4 2 2 3" xfId="6473"/>
    <cellStyle name="Comma [0] 2 2 2 2 4 2 3" xfId="6474"/>
    <cellStyle name="Comma [0] 2 2 2 2 4 2 4" xfId="6475"/>
    <cellStyle name="Comma [0] 2 2 2 2 4 3" xfId="6476"/>
    <cellStyle name="Comma [0] 2 2 2 2 4 3 2" xfId="6477"/>
    <cellStyle name="Comma [0] 2 2 2 2 4 3 3" xfId="6478"/>
    <cellStyle name="Comma [0] 2 2 2 2 4 4" xfId="6479"/>
    <cellStyle name="Comma [0] 2 2 2 2 4 5" xfId="6480"/>
    <cellStyle name="Comma [0] 2 2 2 2 5" xfId="6481"/>
    <cellStyle name="Comma [0] 2 2 2 2 5 2" xfId="6482"/>
    <cellStyle name="Comma [0] 2 2 2 2 5 2 2" xfId="6483"/>
    <cellStyle name="Comma [0] 2 2 2 2 5 2 2 2" xfId="6484"/>
    <cellStyle name="Comma [0] 2 2 2 2 5 2 2 3" xfId="6485"/>
    <cellStyle name="Comma [0] 2 2 2 2 5 2 3" xfId="6486"/>
    <cellStyle name="Comma [0] 2 2 2 2 5 2 4" xfId="6487"/>
    <cellStyle name="Comma [0] 2 2 2 2 5 3" xfId="6488"/>
    <cellStyle name="Comma [0] 2 2 2 2 5 3 2" xfId="6489"/>
    <cellStyle name="Comma [0] 2 2 2 2 5 3 3" xfId="6490"/>
    <cellStyle name="Comma [0] 2 2 2 2 5 4" xfId="6491"/>
    <cellStyle name="Comma [0] 2 2 2 2 5 5" xfId="6492"/>
    <cellStyle name="Comma [0] 2 2 2 2 6" xfId="6493"/>
    <cellStyle name="Comma [0] 2 2 2 2 6 2" xfId="6494"/>
    <cellStyle name="Comma [0] 2 2 2 2 6 2 2" xfId="6495"/>
    <cellStyle name="Comma [0] 2 2 2 2 6 2 3" xfId="6496"/>
    <cellStyle name="Comma [0] 2 2 2 2 6 3" xfId="6497"/>
    <cellStyle name="Comma [0] 2 2 2 2 6 4" xfId="6498"/>
    <cellStyle name="Comma [0] 2 2 2 2 7" xfId="6499"/>
    <cellStyle name="Comma [0] 2 2 2 2 7 2" xfId="6500"/>
    <cellStyle name="Comma [0] 2 2 2 2 7 3" xfId="6501"/>
    <cellStyle name="Comma [0] 2 2 2 2 8" xfId="6502"/>
    <cellStyle name="Comma [0] 2 2 2 2 9" xfId="6503"/>
    <cellStyle name="Comma [0] 2 2 2 3" xfId="6504"/>
    <cellStyle name="Comma [0] 2 2 2 3 10" xfId="6505"/>
    <cellStyle name="Comma [0] 2 2 2 3 2" xfId="6506"/>
    <cellStyle name="Comma [0] 2 2 2 3 2 2" xfId="6507"/>
    <cellStyle name="Comma [0] 2 2 2 3 2 2 2" xfId="6508"/>
    <cellStyle name="Comma [0] 2 2 2 3 2 2 2 2" xfId="6509"/>
    <cellStyle name="Comma [0] 2 2 2 3 2 2 2 3" xfId="6510"/>
    <cellStyle name="Comma [0] 2 2 2 3 2 2 3" xfId="6511"/>
    <cellStyle name="Comma [0] 2 2 2 3 2 2 4" xfId="6512"/>
    <cellStyle name="Comma [0] 2 2 2 3 2 3" xfId="6513"/>
    <cellStyle name="Comma [0] 2 2 2 3 2 3 2" xfId="6514"/>
    <cellStyle name="Comma [0] 2 2 2 3 2 3 3" xfId="6515"/>
    <cellStyle name="Comma [0] 2 2 2 3 2 4" xfId="6516"/>
    <cellStyle name="Comma [0] 2 2 2 3 2 5" xfId="6517"/>
    <cellStyle name="Comma [0] 2 2 2 3 3" xfId="6518"/>
    <cellStyle name="Comma [0] 2 2 2 3 3 2" xfId="6519"/>
    <cellStyle name="Comma [0] 2 2 2 3 3 2 2" xfId="6520"/>
    <cellStyle name="Comma [0] 2 2 2 3 3 2 2 2" xfId="6521"/>
    <cellStyle name="Comma [0] 2 2 2 3 3 2 2 3" xfId="6522"/>
    <cellStyle name="Comma [0] 2 2 2 3 3 2 3" xfId="6523"/>
    <cellStyle name="Comma [0] 2 2 2 3 3 2 4" xfId="6524"/>
    <cellStyle name="Comma [0] 2 2 2 3 3 3" xfId="6525"/>
    <cellStyle name="Comma [0] 2 2 2 3 3 3 2" xfId="6526"/>
    <cellStyle name="Comma [0] 2 2 2 3 3 3 3" xfId="6527"/>
    <cellStyle name="Comma [0] 2 2 2 3 3 4" xfId="6528"/>
    <cellStyle name="Comma [0] 2 2 2 3 3 5" xfId="6529"/>
    <cellStyle name="Comma [0] 2 2 2 3 4" xfId="6530"/>
    <cellStyle name="Comma [0] 2 2 2 3 4 2" xfId="6531"/>
    <cellStyle name="Comma [0] 2 2 2 3 4 2 2" xfId="6532"/>
    <cellStyle name="Comma [0] 2 2 2 3 4 2 2 2" xfId="6533"/>
    <cellStyle name="Comma [0] 2 2 2 3 4 2 2 3" xfId="6534"/>
    <cellStyle name="Comma [0] 2 2 2 3 4 2 3" xfId="6535"/>
    <cellStyle name="Comma [0] 2 2 2 3 4 2 4" xfId="6536"/>
    <cellStyle name="Comma [0] 2 2 2 3 4 3" xfId="6537"/>
    <cellStyle name="Comma [0] 2 2 2 3 4 3 2" xfId="6538"/>
    <cellStyle name="Comma [0] 2 2 2 3 4 3 3" xfId="6539"/>
    <cellStyle name="Comma [0] 2 2 2 3 4 4" xfId="6540"/>
    <cellStyle name="Comma [0] 2 2 2 3 4 5" xfId="6541"/>
    <cellStyle name="Comma [0] 2 2 2 3 5" xfId="6542"/>
    <cellStyle name="Comma [0] 2 2 2 3 5 2" xfId="6543"/>
    <cellStyle name="Comma [0] 2 2 2 3 5 2 2" xfId="6544"/>
    <cellStyle name="Comma [0] 2 2 2 3 5 2 2 2" xfId="6545"/>
    <cellStyle name="Comma [0] 2 2 2 3 5 2 2 3" xfId="6546"/>
    <cellStyle name="Comma [0] 2 2 2 3 5 2 3" xfId="6547"/>
    <cellStyle name="Comma [0] 2 2 2 3 5 2 4" xfId="6548"/>
    <cellStyle name="Comma [0] 2 2 2 3 5 3" xfId="6549"/>
    <cellStyle name="Comma [0] 2 2 2 3 5 3 2" xfId="6550"/>
    <cellStyle name="Comma [0] 2 2 2 3 5 3 3" xfId="6551"/>
    <cellStyle name="Comma [0] 2 2 2 3 5 4" xfId="6552"/>
    <cellStyle name="Comma [0] 2 2 2 3 5 5" xfId="6553"/>
    <cellStyle name="Comma [0] 2 2 2 3 6" xfId="6554"/>
    <cellStyle name="Comma [0] 2 2 2 3 6 2" xfId="6555"/>
    <cellStyle name="Comma [0] 2 2 2 3 6 2 2" xfId="6556"/>
    <cellStyle name="Comma [0] 2 2 2 3 6 2 3" xfId="6557"/>
    <cellStyle name="Comma [0] 2 2 2 3 6 3" xfId="6558"/>
    <cellStyle name="Comma [0] 2 2 2 3 6 4" xfId="6559"/>
    <cellStyle name="Comma [0] 2 2 2 3 7" xfId="6560"/>
    <cellStyle name="Comma [0] 2 2 2 3 7 2" xfId="6561"/>
    <cellStyle name="Comma [0] 2 2 2 3 7 3" xfId="6562"/>
    <cellStyle name="Comma [0] 2 2 2 3 8" xfId="6563"/>
    <cellStyle name="Comma [0] 2 2 2 3 9" xfId="6564"/>
    <cellStyle name="Comma [0] 2 2 2 4" xfId="6565"/>
    <cellStyle name="Comma [0] 2 2 2 4 2" xfId="6566"/>
    <cellStyle name="Comma [0] 2 2 2 4 2 2" xfId="6567"/>
    <cellStyle name="Comma [0] 2 2 2 4 2 2 2" xfId="6568"/>
    <cellStyle name="Comma [0] 2 2 2 4 2 2 3" xfId="6569"/>
    <cellStyle name="Comma [0] 2 2 2 4 2 3" xfId="6570"/>
    <cellStyle name="Comma [0] 2 2 2 4 2 4" xfId="6571"/>
    <cellStyle name="Comma [0] 2 2 2 4 3" xfId="6572"/>
    <cellStyle name="Comma [0] 2 2 2 4 3 2" xfId="6573"/>
    <cellStyle name="Comma [0] 2 2 2 4 3 3" xfId="6574"/>
    <cellStyle name="Comma [0] 2 2 2 4 4" xfId="6575"/>
    <cellStyle name="Comma [0] 2 2 2 4 5" xfId="6576"/>
    <cellStyle name="Comma [0] 2 2 2 5" xfId="6577"/>
    <cellStyle name="Comma [0] 2 2 2 5 2" xfId="6578"/>
    <cellStyle name="Comma [0] 2 2 2 5 2 2" xfId="6579"/>
    <cellStyle name="Comma [0] 2 2 2 5 2 2 2" xfId="6580"/>
    <cellStyle name="Comma [0] 2 2 2 5 2 2 3" xfId="6581"/>
    <cellStyle name="Comma [0] 2 2 2 5 2 3" xfId="6582"/>
    <cellStyle name="Comma [0] 2 2 2 5 2 4" xfId="6583"/>
    <cellStyle name="Comma [0] 2 2 2 5 3" xfId="6584"/>
    <cellStyle name="Comma [0] 2 2 2 5 3 2" xfId="6585"/>
    <cellStyle name="Comma [0] 2 2 2 5 3 3" xfId="6586"/>
    <cellStyle name="Comma [0] 2 2 2 5 4" xfId="6587"/>
    <cellStyle name="Comma [0] 2 2 2 5 5" xfId="6588"/>
    <cellStyle name="Comma [0] 2 2 2 6" xfId="6589"/>
    <cellStyle name="Comma [0] 2 2 2 6 2" xfId="6590"/>
    <cellStyle name="Comma [0] 2 2 2 6 2 2" xfId="6591"/>
    <cellStyle name="Comma [0] 2 2 2 6 2 2 2" xfId="6592"/>
    <cellStyle name="Comma [0] 2 2 2 6 2 2 3" xfId="6593"/>
    <cellStyle name="Comma [0] 2 2 2 6 2 3" xfId="6594"/>
    <cellStyle name="Comma [0] 2 2 2 6 2 4" xfId="6595"/>
    <cellStyle name="Comma [0] 2 2 2 6 3" xfId="6596"/>
    <cellStyle name="Comma [0] 2 2 2 6 3 2" xfId="6597"/>
    <cellStyle name="Comma [0] 2 2 2 6 3 3" xfId="6598"/>
    <cellStyle name="Comma [0] 2 2 2 6 4" xfId="6599"/>
    <cellStyle name="Comma [0] 2 2 2 6 5" xfId="6600"/>
    <cellStyle name="Comma [0] 2 2 2 7" xfId="6601"/>
    <cellStyle name="Comma [0] 2 2 2 7 2" xfId="6602"/>
    <cellStyle name="Comma [0] 2 2 2 7 2 2" xfId="6603"/>
    <cellStyle name="Comma [0] 2 2 2 7 2 2 2" xfId="6604"/>
    <cellStyle name="Comma [0] 2 2 2 7 2 2 3" xfId="6605"/>
    <cellStyle name="Comma [0] 2 2 2 7 2 3" xfId="6606"/>
    <cellStyle name="Comma [0] 2 2 2 7 2 4" xfId="6607"/>
    <cellStyle name="Comma [0] 2 2 2 7 3" xfId="6608"/>
    <cellStyle name="Comma [0] 2 2 2 7 3 2" xfId="6609"/>
    <cellStyle name="Comma [0] 2 2 2 7 3 3" xfId="6610"/>
    <cellStyle name="Comma [0] 2 2 2 7 4" xfId="6611"/>
    <cellStyle name="Comma [0] 2 2 2 7 5" xfId="6612"/>
    <cellStyle name="Comma [0] 2 2 2 8" xfId="6613"/>
    <cellStyle name="Comma [0] 2 2 2 8 2" xfId="6614"/>
    <cellStyle name="Comma [0] 2 2 2 8 2 2" xfId="6615"/>
    <cellStyle name="Comma [0] 2 2 2 8 2 3" xfId="6616"/>
    <cellStyle name="Comma [0] 2 2 2 8 3" xfId="6617"/>
    <cellStyle name="Comma [0] 2 2 2 8 4" xfId="6618"/>
    <cellStyle name="Comma [0] 2 2 2 9" xfId="6619"/>
    <cellStyle name="Comma [0] 2 2 2 9 2" xfId="6620"/>
    <cellStyle name="Comma [0] 2 2 2 9 3" xfId="6621"/>
    <cellStyle name="Comma [0] 2 2 3" xfId="6622"/>
    <cellStyle name="Comma [0] 2 2 3 10" xfId="6623"/>
    <cellStyle name="Comma [0] 2 2 3 11" xfId="6624"/>
    <cellStyle name="Comma [0] 2 2 3 2" xfId="6625"/>
    <cellStyle name="Comma [0] 2 2 3 2 10" xfId="6626"/>
    <cellStyle name="Comma [0] 2 2 3 2 2" xfId="6627"/>
    <cellStyle name="Comma [0] 2 2 3 2 2 2" xfId="6628"/>
    <cellStyle name="Comma [0] 2 2 3 2 2 2 2" xfId="6629"/>
    <cellStyle name="Comma [0] 2 2 3 2 2 2 2 2" xfId="6630"/>
    <cellStyle name="Comma [0] 2 2 3 2 2 2 2 3" xfId="6631"/>
    <cellStyle name="Comma [0] 2 2 3 2 2 2 3" xfId="6632"/>
    <cellStyle name="Comma [0] 2 2 3 2 2 2 4" xfId="6633"/>
    <cellStyle name="Comma [0] 2 2 3 2 2 3" xfId="6634"/>
    <cellStyle name="Comma [0] 2 2 3 2 2 3 2" xfId="6635"/>
    <cellStyle name="Comma [0] 2 2 3 2 2 3 3" xfId="6636"/>
    <cellStyle name="Comma [0] 2 2 3 2 2 4" xfId="6637"/>
    <cellStyle name="Comma [0] 2 2 3 2 2 5" xfId="6638"/>
    <cellStyle name="Comma [0] 2 2 3 2 3" xfId="6639"/>
    <cellStyle name="Comma [0] 2 2 3 2 3 2" xfId="6640"/>
    <cellStyle name="Comma [0] 2 2 3 2 3 2 2" xfId="6641"/>
    <cellStyle name="Comma [0] 2 2 3 2 3 2 2 2" xfId="6642"/>
    <cellStyle name="Comma [0] 2 2 3 2 3 2 2 3" xfId="6643"/>
    <cellStyle name="Comma [0] 2 2 3 2 3 2 3" xfId="6644"/>
    <cellStyle name="Comma [0] 2 2 3 2 3 2 4" xfId="6645"/>
    <cellStyle name="Comma [0] 2 2 3 2 3 3" xfId="6646"/>
    <cellStyle name="Comma [0] 2 2 3 2 3 3 2" xfId="6647"/>
    <cellStyle name="Comma [0] 2 2 3 2 3 3 3" xfId="6648"/>
    <cellStyle name="Comma [0] 2 2 3 2 3 4" xfId="6649"/>
    <cellStyle name="Comma [0] 2 2 3 2 3 5" xfId="6650"/>
    <cellStyle name="Comma [0] 2 2 3 2 4" xfId="6651"/>
    <cellStyle name="Comma [0] 2 2 3 2 4 2" xfId="6652"/>
    <cellStyle name="Comma [0] 2 2 3 2 4 2 2" xfId="6653"/>
    <cellStyle name="Comma [0] 2 2 3 2 4 2 2 2" xfId="6654"/>
    <cellStyle name="Comma [0] 2 2 3 2 4 2 2 3" xfId="6655"/>
    <cellStyle name="Comma [0] 2 2 3 2 4 2 3" xfId="6656"/>
    <cellStyle name="Comma [0] 2 2 3 2 4 2 4" xfId="6657"/>
    <cellStyle name="Comma [0] 2 2 3 2 4 3" xfId="6658"/>
    <cellStyle name="Comma [0] 2 2 3 2 4 3 2" xfId="6659"/>
    <cellStyle name="Comma [0] 2 2 3 2 4 3 3" xfId="6660"/>
    <cellStyle name="Comma [0] 2 2 3 2 4 4" xfId="6661"/>
    <cellStyle name="Comma [0] 2 2 3 2 4 5" xfId="6662"/>
    <cellStyle name="Comma [0] 2 2 3 2 5" xfId="6663"/>
    <cellStyle name="Comma [0] 2 2 3 2 5 2" xfId="6664"/>
    <cellStyle name="Comma [0] 2 2 3 2 5 2 2" xfId="6665"/>
    <cellStyle name="Comma [0] 2 2 3 2 5 2 2 2" xfId="6666"/>
    <cellStyle name="Comma [0] 2 2 3 2 5 2 2 3" xfId="6667"/>
    <cellStyle name="Comma [0] 2 2 3 2 5 2 3" xfId="6668"/>
    <cellStyle name="Comma [0] 2 2 3 2 5 2 4" xfId="6669"/>
    <cellStyle name="Comma [0] 2 2 3 2 5 3" xfId="6670"/>
    <cellStyle name="Comma [0] 2 2 3 2 5 3 2" xfId="6671"/>
    <cellStyle name="Comma [0] 2 2 3 2 5 3 3" xfId="6672"/>
    <cellStyle name="Comma [0] 2 2 3 2 5 4" xfId="6673"/>
    <cellStyle name="Comma [0] 2 2 3 2 5 5" xfId="6674"/>
    <cellStyle name="Comma [0] 2 2 3 2 6" xfId="6675"/>
    <cellStyle name="Comma [0] 2 2 3 2 6 2" xfId="6676"/>
    <cellStyle name="Comma [0] 2 2 3 2 6 2 2" xfId="6677"/>
    <cellStyle name="Comma [0] 2 2 3 2 6 2 3" xfId="6678"/>
    <cellStyle name="Comma [0] 2 2 3 2 6 3" xfId="6679"/>
    <cellStyle name="Comma [0] 2 2 3 2 6 4" xfId="6680"/>
    <cellStyle name="Comma [0] 2 2 3 2 7" xfId="6681"/>
    <cellStyle name="Comma [0] 2 2 3 2 7 2" xfId="6682"/>
    <cellStyle name="Comma [0] 2 2 3 2 7 3" xfId="6683"/>
    <cellStyle name="Comma [0] 2 2 3 2 8" xfId="6684"/>
    <cellStyle name="Comma [0] 2 2 3 2 9" xfId="6685"/>
    <cellStyle name="Comma [0] 2 2 3 3" xfId="6686"/>
    <cellStyle name="Comma [0] 2 2 3 3 2" xfId="6687"/>
    <cellStyle name="Comma [0] 2 2 3 3 2 2" xfId="6688"/>
    <cellStyle name="Comma [0] 2 2 3 3 2 2 2" xfId="6689"/>
    <cellStyle name="Comma [0] 2 2 3 3 2 2 3" xfId="6690"/>
    <cellStyle name="Comma [0] 2 2 3 3 2 3" xfId="6691"/>
    <cellStyle name="Comma [0] 2 2 3 3 2 4" xfId="6692"/>
    <cellStyle name="Comma [0] 2 2 3 3 3" xfId="6693"/>
    <cellStyle name="Comma [0] 2 2 3 3 3 2" xfId="6694"/>
    <cellStyle name="Comma [0] 2 2 3 3 3 3" xfId="6695"/>
    <cellStyle name="Comma [0] 2 2 3 3 4" xfId="6696"/>
    <cellStyle name="Comma [0] 2 2 3 3 5" xfId="6697"/>
    <cellStyle name="Comma [0] 2 2 3 4" xfId="6698"/>
    <cellStyle name="Comma [0] 2 2 3 4 2" xfId="6699"/>
    <cellStyle name="Comma [0] 2 2 3 4 2 2" xfId="6700"/>
    <cellStyle name="Comma [0] 2 2 3 4 2 2 2" xfId="6701"/>
    <cellStyle name="Comma [0] 2 2 3 4 2 2 3" xfId="6702"/>
    <cellStyle name="Comma [0] 2 2 3 4 2 3" xfId="6703"/>
    <cellStyle name="Comma [0] 2 2 3 4 2 4" xfId="6704"/>
    <cellStyle name="Comma [0] 2 2 3 4 3" xfId="6705"/>
    <cellStyle name="Comma [0] 2 2 3 4 3 2" xfId="6706"/>
    <cellStyle name="Comma [0] 2 2 3 4 3 3" xfId="6707"/>
    <cellStyle name="Comma [0] 2 2 3 4 4" xfId="6708"/>
    <cellStyle name="Comma [0] 2 2 3 4 5" xfId="6709"/>
    <cellStyle name="Comma [0] 2 2 3 5" xfId="6710"/>
    <cellStyle name="Comma [0] 2 2 3 5 2" xfId="6711"/>
    <cellStyle name="Comma [0] 2 2 3 5 2 2" xfId="6712"/>
    <cellStyle name="Comma [0] 2 2 3 5 2 2 2" xfId="6713"/>
    <cellStyle name="Comma [0] 2 2 3 5 2 2 3" xfId="6714"/>
    <cellStyle name="Comma [0] 2 2 3 5 2 3" xfId="6715"/>
    <cellStyle name="Comma [0] 2 2 3 5 2 4" xfId="6716"/>
    <cellStyle name="Comma [0] 2 2 3 5 3" xfId="6717"/>
    <cellStyle name="Comma [0] 2 2 3 5 3 2" xfId="6718"/>
    <cellStyle name="Comma [0] 2 2 3 5 3 3" xfId="6719"/>
    <cellStyle name="Comma [0] 2 2 3 5 4" xfId="6720"/>
    <cellStyle name="Comma [0] 2 2 3 5 5" xfId="6721"/>
    <cellStyle name="Comma [0] 2 2 3 6" xfId="6722"/>
    <cellStyle name="Comma [0] 2 2 3 6 2" xfId="6723"/>
    <cellStyle name="Comma [0] 2 2 3 6 2 2" xfId="6724"/>
    <cellStyle name="Comma [0] 2 2 3 6 2 2 2" xfId="6725"/>
    <cellStyle name="Comma [0] 2 2 3 6 2 2 3" xfId="6726"/>
    <cellStyle name="Comma [0] 2 2 3 6 2 3" xfId="6727"/>
    <cellStyle name="Comma [0] 2 2 3 6 2 4" xfId="6728"/>
    <cellStyle name="Comma [0] 2 2 3 6 3" xfId="6729"/>
    <cellStyle name="Comma [0] 2 2 3 6 3 2" xfId="6730"/>
    <cellStyle name="Comma [0] 2 2 3 6 3 3" xfId="6731"/>
    <cellStyle name="Comma [0] 2 2 3 6 4" xfId="6732"/>
    <cellStyle name="Comma [0] 2 2 3 6 5" xfId="6733"/>
    <cellStyle name="Comma [0] 2 2 3 7" xfId="6734"/>
    <cellStyle name="Comma [0] 2 2 3 7 2" xfId="6735"/>
    <cellStyle name="Comma [0] 2 2 3 7 2 2" xfId="6736"/>
    <cellStyle name="Comma [0] 2 2 3 7 2 3" xfId="6737"/>
    <cellStyle name="Comma [0] 2 2 3 7 3" xfId="6738"/>
    <cellStyle name="Comma [0] 2 2 3 7 4" xfId="6739"/>
    <cellStyle name="Comma [0] 2 2 3 8" xfId="6740"/>
    <cellStyle name="Comma [0] 2 2 3 8 2" xfId="6741"/>
    <cellStyle name="Comma [0] 2 2 3 8 3" xfId="6742"/>
    <cellStyle name="Comma [0] 2 2 3 9" xfId="6743"/>
    <cellStyle name="Comma [0] 2 2 4" xfId="6744"/>
    <cellStyle name="Comma [0] 2 2 4 10" xfId="6745"/>
    <cellStyle name="Comma [0] 2 2 4 2" xfId="6746"/>
    <cellStyle name="Comma [0] 2 2 4 2 2" xfId="6747"/>
    <cellStyle name="Comma [0] 2 2 4 2 2 2" xfId="6748"/>
    <cellStyle name="Comma [0] 2 2 4 2 2 2 2" xfId="6749"/>
    <cellStyle name="Comma [0] 2 2 4 2 2 2 3" xfId="6750"/>
    <cellStyle name="Comma [0] 2 2 4 2 2 3" xfId="6751"/>
    <cellStyle name="Comma [0] 2 2 4 2 2 4" xfId="6752"/>
    <cellStyle name="Comma [0] 2 2 4 2 3" xfId="6753"/>
    <cellStyle name="Comma [0] 2 2 4 2 3 2" xfId="6754"/>
    <cellStyle name="Comma [0] 2 2 4 2 3 3" xfId="6755"/>
    <cellStyle name="Comma [0] 2 2 4 2 4" xfId="6756"/>
    <cellStyle name="Comma [0] 2 2 4 2 5" xfId="6757"/>
    <cellStyle name="Comma [0] 2 2 4 3" xfId="6758"/>
    <cellStyle name="Comma [0] 2 2 4 3 2" xfId="6759"/>
    <cellStyle name="Comma [0] 2 2 4 3 2 2" xfId="6760"/>
    <cellStyle name="Comma [0] 2 2 4 3 2 2 2" xfId="6761"/>
    <cellStyle name="Comma [0] 2 2 4 3 2 2 3" xfId="6762"/>
    <cellStyle name="Comma [0] 2 2 4 3 2 3" xfId="6763"/>
    <cellStyle name="Comma [0] 2 2 4 3 2 4" xfId="6764"/>
    <cellStyle name="Comma [0] 2 2 4 3 3" xfId="6765"/>
    <cellStyle name="Comma [0] 2 2 4 3 3 2" xfId="6766"/>
    <cellStyle name="Comma [0] 2 2 4 3 3 3" xfId="6767"/>
    <cellStyle name="Comma [0] 2 2 4 3 4" xfId="6768"/>
    <cellStyle name="Comma [0] 2 2 4 3 5" xfId="6769"/>
    <cellStyle name="Comma [0] 2 2 4 4" xfId="6770"/>
    <cellStyle name="Comma [0] 2 2 4 4 2" xfId="6771"/>
    <cellStyle name="Comma [0] 2 2 4 4 2 2" xfId="6772"/>
    <cellStyle name="Comma [0] 2 2 4 4 2 2 2" xfId="6773"/>
    <cellStyle name="Comma [0] 2 2 4 4 2 2 3" xfId="6774"/>
    <cellStyle name="Comma [0] 2 2 4 4 2 3" xfId="6775"/>
    <cellStyle name="Comma [0] 2 2 4 4 2 4" xfId="6776"/>
    <cellStyle name="Comma [0] 2 2 4 4 3" xfId="6777"/>
    <cellStyle name="Comma [0] 2 2 4 4 3 2" xfId="6778"/>
    <cellStyle name="Comma [0] 2 2 4 4 3 3" xfId="6779"/>
    <cellStyle name="Comma [0] 2 2 4 4 4" xfId="6780"/>
    <cellStyle name="Comma [0] 2 2 4 4 5" xfId="6781"/>
    <cellStyle name="Comma [0] 2 2 4 5" xfId="6782"/>
    <cellStyle name="Comma [0] 2 2 4 5 2" xfId="6783"/>
    <cellStyle name="Comma [0] 2 2 4 5 2 2" xfId="6784"/>
    <cellStyle name="Comma [0] 2 2 4 5 2 2 2" xfId="6785"/>
    <cellStyle name="Comma [0] 2 2 4 5 2 2 3" xfId="6786"/>
    <cellStyle name="Comma [0] 2 2 4 5 2 3" xfId="6787"/>
    <cellStyle name="Comma [0] 2 2 4 5 2 4" xfId="6788"/>
    <cellStyle name="Comma [0] 2 2 4 5 3" xfId="6789"/>
    <cellStyle name="Comma [0] 2 2 4 5 3 2" xfId="6790"/>
    <cellStyle name="Comma [0] 2 2 4 5 3 3" xfId="6791"/>
    <cellStyle name="Comma [0] 2 2 4 5 4" xfId="6792"/>
    <cellStyle name="Comma [0] 2 2 4 5 5" xfId="6793"/>
    <cellStyle name="Comma [0] 2 2 4 6" xfId="6794"/>
    <cellStyle name="Comma [0] 2 2 4 6 2" xfId="6795"/>
    <cellStyle name="Comma [0] 2 2 4 6 2 2" xfId="6796"/>
    <cellStyle name="Comma [0] 2 2 4 6 2 3" xfId="6797"/>
    <cellStyle name="Comma [0] 2 2 4 6 3" xfId="6798"/>
    <cellStyle name="Comma [0] 2 2 4 6 4" xfId="6799"/>
    <cellStyle name="Comma [0] 2 2 4 7" xfId="6800"/>
    <cellStyle name="Comma [0] 2 2 4 7 2" xfId="6801"/>
    <cellStyle name="Comma [0] 2 2 4 7 3" xfId="6802"/>
    <cellStyle name="Comma [0] 2 2 4 8" xfId="6803"/>
    <cellStyle name="Comma [0] 2 2 4 9" xfId="6804"/>
    <cellStyle name="Comma [0] 2 2 5" xfId="6805"/>
    <cellStyle name="Comma [0] 2 2 5 2" xfId="6806"/>
    <cellStyle name="Comma [0] 2 2 5 2 2" xfId="6807"/>
    <cellStyle name="Comma [0] 2 2 5 3" xfId="6808"/>
    <cellStyle name="Comma [0] 2 2 5 3 2" xfId="6809"/>
    <cellStyle name="Comma [0] 2 2 5 3 2 2" xfId="6810"/>
    <cellStyle name="Comma [0] 2 2 5 3 2 3" xfId="6811"/>
    <cellStyle name="Comma [0] 2 2 5 3 3" xfId="6812"/>
    <cellStyle name="Comma [0] 2 2 5 3 4" xfId="6813"/>
    <cellStyle name="Comma [0] 2 2 5 4" xfId="6814"/>
    <cellStyle name="Comma [0] 2 2 5 4 2" xfId="6815"/>
    <cellStyle name="Comma [0] 2 2 5 4 3" xfId="6816"/>
    <cellStyle name="Comma [0] 2 2 5 5" xfId="6817"/>
    <cellStyle name="Comma [0] 2 2 5 6" xfId="6818"/>
    <cellStyle name="Comma [0] 2 2 5 7" xfId="6819"/>
    <cellStyle name="Comma [0] 2 2 6" xfId="6820"/>
    <cellStyle name="Comma [0] 2 2 6 2" xfId="6821"/>
    <cellStyle name="Comma [0] 2 2 7" xfId="6822"/>
    <cellStyle name="Comma [0] 2 2 7 2" xfId="6823"/>
    <cellStyle name="Comma [0] 2 2 7 2 2" xfId="6824"/>
    <cellStyle name="Comma [0] 2 2 7 2 2 2" xfId="6825"/>
    <cellStyle name="Comma [0] 2 2 7 2 2 2 2" xfId="6826"/>
    <cellStyle name="Comma [0] 2 2 7 2 2 2 3" xfId="6827"/>
    <cellStyle name="Comma [0] 2 2 7 2 2 3" xfId="6828"/>
    <cellStyle name="Comma [0] 2 2 7 2 2 4" xfId="6829"/>
    <cellStyle name="Comma [0] 2 2 7 2 3" xfId="6830"/>
    <cellStyle name="Comma [0] 2 2 7 2 3 2" xfId="6831"/>
    <cellStyle name="Comma [0] 2 2 7 2 3 3" xfId="6832"/>
    <cellStyle name="Comma [0] 2 2 7 2 4" xfId="6833"/>
    <cellStyle name="Comma [0] 2 2 7 2 5" xfId="6834"/>
    <cellStyle name="Comma [0] 2 2 7 3" xfId="6835"/>
    <cellStyle name="Comma [0] 2 2 7 3 2" xfId="6836"/>
    <cellStyle name="Comma [0] 2 2 7 3 2 2" xfId="6837"/>
    <cellStyle name="Comma [0] 2 2 7 3 2 2 2" xfId="6838"/>
    <cellStyle name="Comma [0] 2 2 7 3 2 2 3" xfId="6839"/>
    <cellStyle name="Comma [0] 2 2 7 3 2 3" xfId="6840"/>
    <cellStyle name="Comma [0] 2 2 7 3 2 4" xfId="6841"/>
    <cellStyle name="Comma [0] 2 2 7 3 3" xfId="6842"/>
    <cellStyle name="Comma [0] 2 2 7 3 3 2" xfId="6843"/>
    <cellStyle name="Comma [0] 2 2 7 3 3 3" xfId="6844"/>
    <cellStyle name="Comma [0] 2 2 7 3 4" xfId="6845"/>
    <cellStyle name="Comma [0] 2 2 7 3 5" xfId="6846"/>
    <cellStyle name="Comma [0] 2 2 7 4" xfId="6847"/>
    <cellStyle name="Comma [0] 2 2 7 4 2" xfId="6848"/>
    <cellStyle name="Comma [0] 2 2 7 4 2 2" xfId="6849"/>
    <cellStyle name="Comma [0] 2 2 7 4 2 2 2" xfId="6850"/>
    <cellStyle name="Comma [0] 2 2 7 4 2 2 3" xfId="6851"/>
    <cellStyle name="Comma [0] 2 2 7 4 2 3" xfId="6852"/>
    <cellStyle name="Comma [0] 2 2 7 4 2 4" xfId="6853"/>
    <cellStyle name="Comma [0] 2 2 7 4 3" xfId="6854"/>
    <cellStyle name="Comma [0] 2 2 7 4 3 2" xfId="6855"/>
    <cellStyle name="Comma [0] 2 2 7 4 3 3" xfId="6856"/>
    <cellStyle name="Comma [0] 2 2 7 4 4" xfId="6857"/>
    <cellStyle name="Comma [0] 2 2 7 4 5" xfId="6858"/>
    <cellStyle name="Comma [0] 2 2 7 5" xfId="6859"/>
    <cellStyle name="Comma [0] 2 2 7 5 2" xfId="6860"/>
    <cellStyle name="Comma [0] 2 2 7 5 2 2" xfId="6861"/>
    <cellStyle name="Comma [0] 2 2 7 5 2 3" xfId="6862"/>
    <cellStyle name="Comma [0] 2 2 7 5 3" xfId="6863"/>
    <cellStyle name="Comma [0] 2 2 7 5 4" xfId="6864"/>
    <cellStyle name="Comma [0] 2 2 7 6" xfId="6865"/>
    <cellStyle name="Comma [0] 2 2 7 6 2" xfId="6866"/>
    <cellStyle name="Comma [0] 2 2 7 6 3" xfId="6867"/>
    <cellStyle name="Comma [0] 2 2 7 7" xfId="6868"/>
    <cellStyle name="Comma [0] 2 2 7 8" xfId="6869"/>
    <cellStyle name="Comma [0] 2 2 7 9" xfId="6870"/>
    <cellStyle name="Comma [0] 2 2 8" xfId="6871"/>
    <cellStyle name="Comma [0] 2 2 8 2" xfId="6872"/>
    <cellStyle name="Comma [0] 2 2 8 3" xfId="6873"/>
    <cellStyle name="Comma [0] 2 2 9" xfId="6874"/>
    <cellStyle name="Comma [0] 2 3" xfId="6875"/>
    <cellStyle name="Comma [0] 2 3 2" xfId="6876"/>
    <cellStyle name="Comma [0] 2 3 2 10" xfId="6877"/>
    <cellStyle name="Comma [0] 2 3 2 11" xfId="6878"/>
    <cellStyle name="Comma [0] 2 3 2 2" xfId="6879"/>
    <cellStyle name="Comma [0] 2 3 2 2 2" xfId="6880"/>
    <cellStyle name="Comma [0] 2 3 2 2 2 2" xfId="6881"/>
    <cellStyle name="Comma [0] 2 3 2 2 2 2 2" xfId="6882"/>
    <cellStyle name="Comma [0] 2 3 2 2 2 2 2 2" xfId="6883"/>
    <cellStyle name="Comma [0] 2 3 2 2 2 2 2 3" xfId="6884"/>
    <cellStyle name="Comma [0] 2 3 2 2 2 2 3" xfId="6885"/>
    <cellStyle name="Comma [0] 2 3 2 2 2 2 4" xfId="6886"/>
    <cellStyle name="Comma [0] 2 3 2 2 2 3" xfId="6887"/>
    <cellStyle name="Comma [0] 2 3 2 2 2 3 2" xfId="6888"/>
    <cellStyle name="Comma [0] 2 3 2 2 2 3 3" xfId="6889"/>
    <cellStyle name="Comma [0] 2 3 2 2 2 4" xfId="6890"/>
    <cellStyle name="Comma [0] 2 3 2 2 2 5" xfId="6891"/>
    <cellStyle name="Comma [0] 2 3 2 2 3" xfId="6892"/>
    <cellStyle name="Comma [0] 2 3 2 2 3 2" xfId="6893"/>
    <cellStyle name="Comma [0] 2 3 2 2 3 2 2" xfId="6894"/>
    <cellStyle name="Comma [0] 2 3 2 2 3 2 2 2" xfId="6895"/>
    <cellStyle name="Comma [0] 2 3 2 2 3 2 2 3" xfId="6896"/>
    <cellStyle name="Comma [0] 2 3 2 2 3 2 3" xfId="6897"/>
    <cellStyle name="Comma [0] 2 3 2 2 3 2 4" xfId="6898"/>
    <cellStyle name="Comma [0] 2 3 2 2 3 3" xfId="6899"/>
    <cellStyle name="Comma [0] 2 3 2 2 3 3 2" xfId="6900"/>
    <cellStyle name="Comma [0] 2 3 2 2 3 3 3" xfId="6901"/>
    <cellStyle name="Comma [0] 2 3 2 2 3 4" xfId="6902"/>
    <cellStyle name="Comma [0] 2 3 2 2 3 5" xfId="6903"/>
    <cellStyle name="Comma [0] 2 3 2 2 4" xfId="6904"/>
    <cellStyle name="Comma [0] 2 3 2 2 4 2" xfId="6905"/>
    <cellStyle name="Comma [0] 2 3 2 2 4 2 2" xfId="6906"/>
    <cellStyle name="Comma [0] 2 3 2 2 4 2 2 2" xfId="6907"/>
    <cellStyle name="Comma [0] 2 3 2 2 4 2 2 3" xfId="6908"/>
    <cellStyle name="Comma [0] 2 3 2 2 4 2 3" xfId="6909"/>
    <cellStyle name="Comma [0] 2 3 2 2 4 2 4" xfId="6910"/>
    <cellStyle name="Comma [0] 2 3 2 2 4 3" xfId="6911"/>
    <cellStyle name="Comma [0] 2 3 2 2 4 3 2" xfId="6912"/>
    <cellStyle name="Comma [0] 2 3 2 2 4 3 3" xfId="6913"/>
    <cellStyle name="Comma [0] 2 3 2 2 4 4" xfId="6914"/>
    <cellStyle name="Comma [0] 2 3 2 2 4 5" xfId="6915"/>
    <cellStyle name="Comma [0] 2 3 2 2 5" xfId="6916"/>
    <cellStyle name="Comma [0] 2 3 2 2 5 2" xfId="6917"/>
    <cellStyle name="Comma [0] 2 3 2 2 5 2 2" xfId="6918"/>
    <cellStyle name="Comma [0] 2 3 2 2 5 2 3" xfId="6919"/>
    <cellStyle name="Comma [0] 2 3 2 2 5 3" xfId="6920"/>
    <cellStyle name="Comma [0] 2 3 2 2 5 4" xfId="6921"/>
    <cellStyle name="Comma [0] 2 3 2 2 6" xfId="6922"/>
    <cellStyle name="Comma [0] 2 3 2 2 6 2" xfId="6923"/>
    <cellStyle name="Comma [0] 2 3 2 2 6 3" xfId="6924"/>
    <cellStyle name="Comma [0] 2 3 2 2 7" xfId="6925"/>
    <cellStyle name="Comma [0] 2 3 2 2 8" xfId="6926"/>
    <cellStyle name="Comma [0] 2 3 2 2 9" xfId="6927"/>
    <cellStyle name="Comma [0] 2 3 2 3" xfId="6928"/>
    <cellStyle name="Comma [0] 2 3 2 3 2" xfId="6929"/>
    <cellStyle name="Comma [0] 2 3 2 3 2 2" xfId="6930"/>
    <cellStyle name="Comma [0] 2 3 2 3 2 2 2" xfId="6931"/>
    <cellStyle name="Comma [0] 2 3 2 3 2 2 2 2" xfId="6932"/>
    <cellStyle name="Comma [0] 2 3 2 3 2 2 2 3" xfId="6933"/>
    <cellStyle name="Comma [0] 2 3 2 3 2 2 3" xfId="6934"/>
    <cellStyle name="Comma [0] 2 3 2 3 2 2 4" xfId="6935"/>
    <cellStyle name="Comma [0] 2 3 2 3 2 3" xfId="6936"/>
    <cellStyle name="Comma [0] 2 3 2 3 2 3 2" xfId="6937"/>
    <cellStyle name="Comma [0] 2 3 2 3 2 3 3" xfId="6938"/>
    <cellStyle name="Comma [0] 2 3 2 3 2 4" xfId="6939"/>
    <cellStyle name="Comma [0] 2 3 2 3 2 5" xfId="6940"/>
    <cellStyle name="Comma [0] 2 3 2 3 3" xfId="6941"/>
    <cellStyle name="Comma [0] 2 3 2 3 3 2" xfId="6942"/>
    <cellStyle name="Comma [0] 2 3 2 3 3 2 2" xfId="6943"/>
    <cellStyle name="Comma [0] 2 3 2 3 3 2 2 2" xfId="6944"/>
    <cellStyle name="Comma [0] 2 3 2 3 3 2 2 3" xfId="6945"/>
    <cellStyle name="Comma [0] 2 3 2 3 3 2 3" xfId="6946"/>
    <cellStyle name="Comma [0] 2 3 2 3 3 2 4" xfId="6947"/>
    <cellStyle name="Comma [0] 2 3 2 3 3 3" xfId="6948"/>
    <cellStyle name="Comma [0] 2 3 2 3 3 3 2" xfId="6949"/>
    <cellStyle name="Comma [0] 2 3 2 3 3 3 3" xfId="6950"/>
    <cellStyle name="Comma [0] 2 3 2 3 3 4" xfId="6951"/>
    <cellStyle name="Comma [0] 2 3 2 3 3 5" xfId="6952"/>
    <cellStyle name="Comma [0] 2 3 2 3 4" xfId="6953"/>
    <cellStyle name="Comma [0] 2 3 2 3 4 2" xfId="6954"/>
    <cellStyle name="Comma [0] 2 3 2 3 4 2 2" xfId="6955"/>
    <cellStyle name="Comma [0] 2 3 2 3 4 2 2 2" xfId="6956"/>
    <cellStyle name="Comma [0] 2 3 2 3 4 2 2 3" xfId="6957"/>
    <cellStyle name="Comma [0] 2 3 2 3 4 2 3" xfId="6958"/>
    <cellStyle name="Comma [0] 2 3 2 3 4 2 4" xfId="6959"/>
    <cellStyle name="Comma [0] 2 3 2 3 4 3" xfId="6960"/>
    <cellStyle name="Comma [0] 2 3 2 3 4 3 2" xfId="6961"/>
    <cellStyle name="Comma [0] 2 3 2 3 4 3 3" xfId="6962"/>
    <cellStyle name="Comma [0] 2 3 2 3 4 4" xfId="6963"/>
    <cellStyle name="Comma [0] 2 3 2 3 4 5" xfId="6964"/>
    <cellStyle name="Comma [0] 2 3 2 3 5" xfId="6965"/>
    <cellStyle name="Comma [0] 2 3 2 3 5 2" xfId="6966"/>
    <cellStyle name="Comma [0] 2 3 2 3 5 2 2" xfId="6967"/>
    <cellStyle name="Comma [0] 2 3 2 3 5 2 3" xfId="6968"/>
    <cellStyle name="Comma [0] 2 3 2 3 5 3" xfId="6969"/>
    <cellStyle name="Comma [0] 2 3 2 3 5 4" xfId="6970"/>
    <cellStyle name="Comma [0] 2 3 2 3 6" xfId="6971"/>
    <cellStyle name="Comma [0] 2 3 2 3 6 2" xfId="6972"/>
    <cellStyle name="Comma [0] 2 3 2 3 6 3" xfId="6973"/>
    <cellStyle name="Comma [0] 2 3 2 3 7" xfId="6974"/>
    <cellStyle name="Comma [0] 2 3 2 3 8" xfId="6975"/>
    <cellStyle name="Comma [0] 2 3 2 3 9" xfId="6976"/>
    <cellStyle name="Comma [0] 2 3 2 4" xfId="6977"/>
    <cellStyle name="Comma [0] 2 3 2 4 2" xfId="6978"/>
    <cellStyle name="Comma [0] 2 3 2 4 2 2" xfId="6979"/>
    <cellStyle name="Comma [0] 2 3 2 4 2 2 2" xfId="6980"/>
    <cellStyle name="Comma [0] 2 3 2 4 2 2 3" xfId="6981"/>
    <cellStyle name="Comma [0] 2 3 2 4 2 3" xfId="6982"/>
    <cellStyle name="Comma [0] 2 3 2 4 2 4" xfId="6983"/>
    <cellStyle name="Comma [0] 2 3 2 4 3" xfId="6984"/>
    <cellStyle name="Comma [0] 2 3 2 4 3 2" xfId="6985"/>
    <cellStyle name="Comma [0] 2 3 2 4 3 3" xfId="6986"/>
    <cellStyle name="Comma [0] 2 3 2 4 4" xfId="6987"/>
    <cellStyle name="Comma [0] 2 3 2 4 5" xfId="6988"/>
    <cellStyle name="Comma [0] 2 3 2 5" xfId="6989"/>
    <cellStyle name="Comma [0] 2 3 2 5 2" xfId="6990"/>
    <cellStyle name="Comma [0] 2 3 2 5 2 2" xfId="6991"/>
    <cellStyle name="Comma [0] 2 3 2 5 2 2 2" xfId="6992"/>
    <cellStyle name="Comma [0] 2 3 2 5 2 2 3" xfId="6993"/>
    <cellStyle name="Comma [0] 2 3 2 5 2 3" xfId="6994"/>
    <cellStyle name="Comma [0] 2 3 2 5 2 4" xfId="6995"/>
    <cellStyle name="Comma [0] 2 3 2 5 3" xfId="6996"/>
    <cellStyle name="Comma [0] 2 3 2 5 3 2" xfId="6997"/>
    <cellStyle name="Comma [0] 2 3 2 5 3 3" xfId="6998"/>
    <cellStyle name="Comma [0] 2 3 2 5 4" xfId="6999"/>
    <cellStyle name="Comma [0] 2 3 2 5 5" xfId="7000"/>
    <cellStyle name="Comma [0] 2 3 2 6" xfId="7001"/>
    <cellStyle name="Comma [0] 2 3 2 6 2" xfId="7002"/>
    <cellStyle name="Comma [0] 2 3 2 6 2 2" xfId="7003"/>
    <cellStyle name="Comma [0] 2 3 2 6 2 2 2" xfId="7004"/>
    <cellStyle name="Comma [0] 2 3 2 6 2 2 3" xfId="7005"/>
    <cellStyle name="Comma [0] 2 3 2 6 2 3" xfId="7006"/>
    <cellStyle name="Comma [0] 2 3 2 6 2 4" xfId="7007"/>
    <cellStyle name="Comma [0] 2 3 2 6 3" xfId="7008"/>
    <cellStyle name="Comma [0] 2 3 2 6 3 2" xfId="7009"/>
    <cellStyle name="Comma [0] 2 3 2 6 3 3" xfId="7010"/>
    <cellStyle name="Comma [0] 2 3 2 6 4" xfId="7011"/>
    <cellStyle name="Comma [0] 2 3 2 6 5" xfId="7012"/>
    <cellStyle name="Comma [0] 2 3 2 7" xfId="7013"/>
    <cellStyle name="Comma [0] 2 3 2 7 2" xfId="7014"/>
    <cellStyle name="Comma [0] 2 3 2 7 2 2" xfId="7015"/>
    <cellStyle name="Comma [0] 2 3 2 7 2 3" xfId="7016"/>
    <cellStyle name="Comma [0] 2 3 2 7 3" xfId="7017"/>
    <cellStyle name="Comma [0] 2 3 2 7 4" xfId="7018"/>
    <cellStyle name="Comma [0] 2 3 2 8" xfId="7019"/>
    <cellStyle name="Comma [0] 2 3 2 8 2" xfId="7020"/>
    <cellStyle name="Comma [0] 2 3 2 8 3" xfId="7021"/>
    <cellStyle name="Comma [0] 2 3 2 9" xfId="7022"/>
    <cellStyle name="Comma [0] 2 3 3" xfId="7023"/>
    <cellStyle name="Comma [0] 2 3 3 10" xfId="7024"/>
    <cellStyle name="Comma [0] 2 3 3 2" xfId="7025"/>
    <cellStyle name="Comma [0] 2 3 3 2 2" xfId="7026"/>
    <cellStyle name="Comma [0] 2 3 3 2 2 2" xfId="7027"/>
    <cellStyle name="Comma [0] 2 3 3 2 2 2 2" xfId="7028"/>
    <cellStyle name="Comma [0] 2 3 3 2 2 2 2 2" xfId="7029"/>
    <cellStyle name="Comma [0] 2 3 3 2 2 2 2 3" xfId="7030"/>
    <cellStyle name="Comma [0] 2 3 3 2 2 2 3" xfId="7031"/>
    <cellStyle name="Comma [0] 2 3 3 2 2 2 4" xfId="7032"/>
    <cellStyle name="Comma [0] 2 3 3 2 2 3" xfId="7033"/>
    <cellStyle name="Comma [0] 2 3 3 2 2 3 2" xfId="7034"/>
    <cellStyle name="Comma [0] 2 3 3 2 2 3 3" xfId="7035"/>
    <cellStyle name="Comma [0] 2 3 3 2 2 4" xfId="7036"/>
    <cellStyle name="Comma [0] 2 3 3 2 2 5" xfId="7037"/>
    <cellStyle name="Comma [0] 2 3 3 2 3" xfId="7038"/>
    <cellStyle name="Comma [0] 2 3 3 2 3 2" xfId="7039"/>
    <cellStyle name="Comma [0] 2 3 3 2 3 2 2" xfId="7040"/>
    <cellStyle name="Comma [0] 2 3 3 2 3 2 2 2" xfId="7041"/>
    <cellStyle name="Comma [0] 2 3 3 2 3 2 2 3" xfId="7042"/>
    <cellStyle name="Comma [0] 2 3 3 2 3 2 3" xfId="7043"/>
    <cellStyle name="Comma [0] 2 3 3 2 3 2 4" xfId="7044"/>
    <cellStyle name="Comma [0] 2 3 3 2 3 3" xfId="7045"/>
    <cellStyle name="Comma [0] 2 3 3 2 3 3 2" xfId="7046"/>
    <cellStyle name="Comma [0] 2 3 3 2 3 3 3" xfId="7047"/>
    <cellStyle name="Comma [0] 2 3 3 2 3 4" xfId="7048"/>
    <cellStyle name="Comma [0] 2 3 3 2 3 5" xfId="7049"/>
    <cellStyle name="Comma [0] 2 3 3 2 4" xfId="7050"/>
    <cellStyle name="Comma [0] 2 3 3 2 4 2" xfId="7051"/>
    <cellStyle name="Comma [0] 2 3 3 2 4 2 2" xfId="7052"/>
    <cellStyle name="Comma [0] 2 3 3 2 4 2 2 2" xfId="7053"/>
    <cellStyle name="Comma [0] 2 3 3 2 4 2 2 3" xfId="7054"/>
    <cellStyle name="Comma [0] 2 3 3 2 4 2 3" xfId="7055"/>
    <cellStyle name="Comma [0] 2 3 3 2 4 2 4" xfId="7056"/>
    <cellStyle name="Comma [0] 2 3 3 2 4 3" xfId="7057"/>
    <cellStyle name="Comma [0] 2 3 3 2 4 3 2" xfId="7058"/>
    <cellStyle name="Comma [0] 2 3 3 2 4 3 3" xfId="7059"/>
    <cellStyle name="Comma [0] 2 3 3 2 4 4" xfId="7060"/>
    <cellStyle name="Comma [0] 2 3 3 2 4 5" xfId="7061"/>
    <cellStyle name="Comma [0] 2 3 3 2 5" xfId="7062"/>
    <cellStyle name="Comma [0] 2 3 3 2 5 2" xfId="7063"/>
    <cellStyle name="Comma [0] 2 3 3 2 5 2 2" xfId="7064"/>
    <cellStyle name="Comma [0] 2 3 3 2 5 2 3" xfId="7065"/>
    <cellStyle name="Comma [0] 2 3 3 2 5 3" xfId="7066"/>
    <cellStyle name="Comma [0] 2 3 3 2 5 4" xfId="7067"/>
    <cellStyle name="Comma [0] 2 3 3 2 6" xfId="7068"/>
    <cellStyle name="Comma [0] 2 3 3 2 6 2" xfId="7069"/>
    <cellStyle name="Comma [0] 2 3 3 2 6 3" xfId="7070"/>
    <cellStyle name="Comma [0] 2 3 3 2 7" xfId="7071"/>
    <cellStyle name="Comma [0] 2 3 3 2 8" xfId="7072"/>
    <cellStyle name="Comma [0] 2 3 3 2 9" xfId="7073"/>
    <cellStyle name="Comma [0] 2 3 3 3" xfId="7074"/>
    <cellStyle name="Comma [0] 2 3 3 3 2" xfId="7075"/>
    <cellStyle name="Comma [0] 2 3 3 3 2 2" xfId="7076"/>
    <cellStyle name="Comma [0] 2 3 3 3 2 2 2" xfId="7077"/>
    <cellStyle name="Comma [0] 2 3 3 3 2 2 3" xfId="7078"/>
    <cellStyle name="Comma [0] 2 3 3 3 2 3" xfId="7079"/>
    <cellStyle name="Comma [0] 2 3 3 3 2 4" xfId="7080"/>
    <cellStyle name="Comma [0] 2 3 3 3 3" xfId="7081"/>
    <cellStyle name="Comma [0] 2 3 3 3 3 2" xfId="7082"/>
    <cellStyle name="Comma [0] 2 3 3 3 3 3" xfId="7083"/>
    <cellStyle name="Comma [0] 2 3 3 3 4" xfId="7084"/>
    <cellStyle name="Comma [0] 2 3 3 3 5" xfId="7085"/>
    <cellStyle name="Comma [0] 2 3 3 4" xfId="7086"/>
    <cellStyle name="Comma [0] 2 3 3 4 2" xfId="7087"/>
    <cellStyle name="Comma [0] 2 3 3 4 2 2" xfId="7088"/>
    <cellStyle name="Comma [0] 2 3 3 4 2 2 2" xfId="7089"/>
    <cellStyle name="Comma [0] 2 3 3 4 2 2 3" xfId="7090"/>
    <cellStyle name="Comma [0] 2 3 3 4 2 3" xfId="7091"/>
    <cellStyle name="Comma [0] 2 3 3 4 2 4" xfId="7092"/>
    <cellStyle name="Comma [0] 2 3 3 4 3" xfId="7093"/>
    <cellStyle name="Comma [0] 2 3 3 4 3 2" xfId="7094"/>
    <cellStyle name="Comma [0] 2 3 3 4 3 3" xfId="7095"/>
    <cellStyle name="Comma [0] 2 3 3 4 4" xfId="7096"/>
    <cellStyle name="Comma [0] 2 3 3 4 5" xfId="7097"/>
    <cellStyle name="Comma [0] 2 3 3 5" xfId="7098"/>
    <cellStyle name="Comma [0] 2 3 3 5 2" xfId="7099"/>
    <cellStyle name="Comma [0] 2 3 3 5 2 2" xfId="7100"/>
    <cellStyle name="Comma [0] 2 3 3 5 2 2 2" xfId="7101"/>
    <cellStyle name="Comma [0] 2 3 3 5 2 2 3" xfId="7102"/>
    <cellStyle name="Comma [0] 2 3 3 5 2 3" xfId="7103"/>
    <cellStyle name="Comma [0] 2 3 3 5 2 4" xfId="7104"/>
    <cellStyle name="Comma [0] 2 3 3 5 3" xfId="7105"/>
    <cellStyle name="Comma [0] 2 3 3 5 3 2" xfId="7106"/>
    <cellStyle name="Comma [0] 2 3 3 5 3 3" xfId="7107"/>
    <cellStyle name="Comma [0] 2 3 3 5 4" xfId="7108"/>
    <cellStyle name="Comma [0] 2 3 3 5 5" xfId="7109"/>
    <cellStyle name="Comma [0] 2 3 3 6" xfId="7110"/>
    <cellStyle name="Comma [0] 2 3 3 6 2" xfId="7111"/>
    <cellStyle name="Comma [0] 2 3 3 6 2 2" xfId="7112"/>
    <cellStyle name="Comma [0] 2 3 3 6 2 3" xfId="7113"/>
    <cellStyle name="Comma [0] 2 3 3 6 3" xfId="7114"/>
    <cellStyle name="Comma [0] 2 3 3 6 4" xfId="7115"/>
    <cellStyle name="Comma [0] 2 3 3 7" xfId="7116"/>
    <cellStyle name="Comma [0] 2 3 3 7 2" xfId="7117"/>
    <cellStyle name="Comma [0] 2 3 3 7 3" xfId="7118"/>
    <cellStyle name="Comma [0] 2 3 3 8" xfId="7119"/>
    <cellStyle name="Comma [0] 2 3 3 9" xfId="7120"/>
    <cellStyle name="Comma [0] 2 3 4" xfId="7121"/>
    <cellStyle name="Comma [0] 2 3 4 2" xfId="7122"/>
    <cellStyle name="Comma [0] 2 3 4 2 2" xfId="7123"/>
    <cellStyle name="Comma [0] 2 3 4 2 2 2" xfId="7124"/>
    <cellStyle name="Comma [0] 2 3 4 2 2 2 2" xfId="7125"/>
    <cellStyle name="Comma [0] 2 3 4 2 2 2 3" xfId="7126"/>
    <cellStyle name="Comma [0] 2 3 4 2 2 3" xfId="7127"/>
    <cellStyle name="Comma [0] 2 3 4 2 2 4" xfId="7128"/>
    <cellStyle name="Comma [0] 2 3 4 2 3" xfId="7129"/>
    <cellStyle name="Comma [0] 2 3 4 2 3 2" xfId="7130"/>
    <cellStyle name="Comma [0] 2 3 4 2 3 3" xfId="7131"/>
    <cellStyle name="Comma [0] 2 3 4 2 4" xfId="7132"/>
    <cellStyle name="Comma [0] 2 3 4 2 5" xfId="7133"/>
    <cellStyle name="Comma [0] 2 3 4 3" xfId="7134"/>
    <cellStyle name="Comma [0] 2 3 4 3 2" xfId="7135"/>
    <cellStyle name="Comma [0] 2 3 4 3 2 2" xfId="7136"/>
    <cellStyle name="Comma [0] 2 3 4 3 2 2 2" xfId="7137"/>
    <cellStyle name="Comma [0] 2 3 4 3 2 2 3" xfId="7138"/>
    <cellStyle name="Comma [0] 2 3 4 3 2 3" xfId="7139"/>
    <cellStyle name="Comma [0] 2 3 4 3 2 4" xfId="7140"/>
    <cellStyle name="Comma [0] 2 3 4 3 3" xfId="7141"/>
    <cellStyle name="Comma [0] 2 3 4 3 3 2" xfId="7142"/>
    <cellStyle name="Comma [0] 2 3 4 3 3 3" xfId="7143"/>
    <cellStyle name="Comma [0] 2 3 4 3 4" xfId="7144"/>
    <cellStyle name="Comma [0] 2 3 4 3 5" xfId="7145"/>
    <cellStyle name="Comma [0] 2 3 4 4" xfId="7146"/>
    <cellStyle name="Comma [0] 2 3 4 4 2" xfId="7147"/>
    <cellStyle name="Comma [0] 2 3 4 4 2 2" xfId="7148"/>
    <cellStyle name="Comma [0] 2 3 4 4 2 2 2" xfId="7149"/>
    <cellStyle name="Comma [0] 2 3 4 4 2 2 3" xfId="7150"/>
    <cellStyle name="Comma [0] 2 3 4 4 2 3" xfId="7151"/>
    <cellStyle name="Comma [0] 2 3 4 4 2 4" xfId="7152"/>
    <cellStyle name="Comma [0] 2 3 4 4 3" xfId="7153"/>
    <cellStyle name="Comma [0] 2 3 4 4 3 2" xfId="7154"/>
    <cellStyle name="Comma [0] 2 3 4 4 3 3" xfId="7155"/>
    <cellStyle name="Comma [0] 2 3 4 4 4" xfId="7156"/>
    <cellStyle name="Comma [0] 2 3 4 4 5" xfId="7157"/>
    <cellStyle name="Comma [0] 2 3 4 5" xfId="7158"/>
    <cellStyle name="Comma [0] 2 3 4 5 2" xfId="7159"/>
    <cellStyle name="Comma [0] 2 3 4 5 2 2" xfId="7160"/>
    <cellStyle name="Comma [0] 2 3 4 5 2 3" xfId="7161"/>
    <cellStyle name="Comma [0] 2 3 4 5 3" xfId="7162"/>
    <cellStyle name="Comma [0] 2 3 4 5 4" xfId="7163"/>
    <cellStyle name="Comma [0] 2 3 4 6" xfId="7164"/>
    <cellStyle name="Comma [0] 2 3 4 6 2" xfId="7165"/>
    <cellStyle name="Comma [0] 2 3 4 6 3" xfId="7166"/>
    <cellStyle name="Comma [0] 2 3 4 7" xfId="7167"/>
    <cellStyle name="Comma [0] 2 3 4 8" xfId="7168"/>
    <cellStyle name="Comma [0] 2 3 4 9" xfId="7169"/>
    <cellStyle name="Comma [0] 2 3 5" xfId="7170"/>
    <cellStyle name="Comma [0] 2 3 5 2" xfId="7171"/>
    <cellStyle name="Comma [0] 2 3 6" xfId="7172"/>
    <cellStyle name="Comma [0] 2 4" xfId="7173"/>
    <cellStyle name="Comma [0] 2 4 2" xfId="7174"/>
    <cellStyle name="Comma [0] 2 4 2 10" xfId="7175"/>
    <cellStyle name="Comma [0] 2 4 2 11" xfId="7176"/>
    <cellStyle name="Comma [0] 2 4 2 2" xfId="7177"/>
    <cellStyle name="Comma [0] 2 4 2 2 2" xfId="7178"/>
    <cellStyle name="Comma [0] 2 4 2 2 2 2" xfId="7179"/>
    <cellStyle name="Comma [0] 2 4 2 2 2 2 2" xfId="7180"/>
    <cellStyle name="Comma [0] 2 4 2 2 2 2 2 2" xfId="7181"/>
    <cellStyle name="Comma [0] 2 4 2 2 2 2 2 3" xfId="7182"/>
    <cellStyle name="Comma [0] 2 4 2 2 2 2 3" xfId="7183"/>
    <cellStyle name="Comma [0] 2 4 2 2 2 2 4" xfId="7184"/>
    <cellStyle name="Comma [0] 2 4 2 2 2 3" xfId="7185"/>
    <cellStyle name="Comma [0] 2 4 2 2 2 3 2" xfId="7186"/>
    <cellStyle name="Comma [0] 2 4 2 2 2 3 3" xfId="7187"/>
    <cellStyle name="Comma [0] 2 4 2 2 2 4" xfId="7188"/>
    <cellStyle name="Comma [0] 2 4 2 2 2 5" xfId="7189"/>
    <cellStyle name="Comma [0] 2 4 2 2 3" xfId="7190"/>
    <cellStyle name="Comma [0] 2 4 2 2 3 2" xfId="7191"/>
    <cellStyle name="Comma [0] 2 4 2 2 3 2 2" xfId="7192"/>
    <cellStyle name="Comma [0] 2 4 2 2 3 2 2 2" xfId="7193"/>
    <cellStyle name="Comma [0] 2 4 2 2 3 2 2 3" xfId="7194"/>
    <cellStyle name="Comma [0] 2 4 2 2 3 2 3" xfId="7195"/>
    <cellStyle name="Comma [0] 2 4 2 2 3 2 4" xfId="7196"/>
    <cellStyle name="Comma [0] 2 4 2 2 3 3" xfId="7197"/>
    <cellStyle name="Comma [0] 2 4 2 2 3 3 2" xfId="7198"/>
    <cellStyle name="Comma [0] 2 4 2 2 3 3 3" xfId="7199"/>
    <cellStyle name="Comma [0] 2 4 2 2 3 4" xfId="7200"/>
    <cellStyle name="Comma [0] 2 4 2 2 3 5" xfId="7201"/>
    <cellStyle name="Comma [0] 2 4 2 2 4" xfId="7202"/>
    <cellStyle name="Comma [0] 2 4 2 2 4 2" xfId="7203"/>
    <cellStyle name="Comma [0] 2 4 2 2 4 2 2" xfId="7204"/>
    <cellStyle name="Comma [0] 2 4 2 2 4 2 2 2" xfId="7205"/>
    <cellStyle name="Comma [0] 2 4 2 2 4 2 2 3" xfId="7206"/>
    <cellStyle name="Comma [0] 2 4 2 2 4 2 3" xfId="7207"/>
    <cellStyle name="Comma [0] 2 4 2 2 4 2 4" xfId="7208"/>
    <cellStyle name="Comma [0] 2 4 2 2 4 3" xfId="7209"/>
    <cellStyle name="Comma [0] 2 4 2 2 4 3 2" xfId="7210"/>
    <cellStyle name="Comma [0] 2 4 2 2 4 3 3" xfId="7211"/>
    <cellStyle name="Comma [0] 2 4 2 2 4 4" xfId="7212"/>
    <cellStyle name="Comma [0] 2 4 2 2 4 5" xfId="7213"/>
    <cellStyle name="Comma [0] 2 4 2 2 5" xfId="7214"/>
    <cellStyle name="Comma [0] 2 4 2 2 5 2" xfId="7215"/>
    <cellStyle name="Comma [0] 2 4 2 2 5 2 2" xfId="7216"/>
    <cellStyle name="Comma [0] 2 4 2 2 5 2 3" xfId="7217"/>
    <cellStyle name="Comma [0] 2 4 2 2 5 3" xfId="7218"/>
    <cellStyle name="Comma [0] 2 4 2 2 5 4" xfId="7219"/>
    <cellStyle name="Comma [0] 2 4 2 2 6" xfId="7220"/>
    <cellStyle name="Comma [0] 2 4 2 2 6 2" xfId="7221"/>
    <cellStyle name="Comma [0] 2 4 2 2 6 3" xfId="7222"/>
    <cellStyle name="Comma [0] 2 4 2 2 7" xfId="7223"/>
    <cellStyle name="Comma [0] 2 4 2 2 8" xfId="7224"/>
    <cellStyle name="Comma [0] 2 4 2 2 9" xfId="7225"/>
    <cellStyle name="Comma [0] 2 4 2 3" xfId="7226"/>
    <cellStyle name="Comma [0] 2 4 2 3 2" xfId="7227"/>
    <cellStyle name="Comma [0] 2 4 2 3 2 2" xfId="7228"/>
    <cellStyle name="Comma [0] 2 4 2 3 2 2 2" xfId="7229"/>
    <cellStyle name="Comma [0] 2 4 2 3 2 2 2 2" xfId="7230"/>
    <cellStyle name="Comma [0] 2 4 2 3 2 2 2 3" xfId="7231"/>
    <cellStyle name="Comma [0] 2 4 2 3 2 2 3" xfId="7232"/>
    <cellStyle name="Comma [0] 2 4 2 3 2 2 4" xfId="7233"/>
    <cellStyle name="Comma [0] 2 4 2 3 2 3" xfId="7234"/>
    <cellStyle name="Comma [0] 2 4 2 3 2 3 2" xfId="7235"/>
    <cellStyle name="Comma [0] 2 4 2 3 2 3 3" xfId="7236"/>
    <cellStyle name="Comma [0] 2 4 2 3 2 4" xfId="7237"/>
    <cellStyle name="Comma [0] 2 4 2 3 2 5" xfId="7238"/>
    <cellStyle name="Comma [0] 2 4 2 3 3" xfId="7239"/>
    <cellStyle name="Comma [0] 2 4 2 3 3 2" xfId="7240"/>
    <cellStyle name="Comma [0] 2 4 2 3 3 2 2" xfId="7241"/>
    <cellStyle name="Comma [0] 2 4 2 3 3 2 2 2" xfId="7242"/>
    <cellStyle name="Comma [0] 2 4 2 3 3 2 2 3" xfId="7243"/>
    <cellStyle name="Comma [0] 2 4 2 3 3 2 3" xfId="7244"/>
    <cellStyle name="Comma [0] 2 4 2 3 3 2 4" xfId="7245"/>
    <cellStyle name="Comma [0] 2 4 2 3 3 3" xfId="7246"/>
    <cellStyle name="Comma [0] 2 4 2 3 3 3 2" xfId="7247"/>
    <cellStyle name="Comma [0] 2 4 2 3 3 3 3" xfId="7248"/>
    <cellStyle name="Comma [0] 2 4 2 3 3 4" xfId="7249"/>
    <cellStyle name="Comma [0] 2 4 2 3 3 5" xfId="7250"/>
    <cellStyle name="Comma [0] 2 4 2 3 4" xfId="7251"/>
    <cellStyle name="Comma [0] 2 4 2 3 4 2" xfId="7252"/>
    <cellStyle name="Comma [0] 2 4 2 3 4 2 2" xfId="7253"/>
    <cellStyle name="Comma [0] 2 4 2 3 4 2 2 2" xfId="7254"/>
    <cellStyle name="Comma [0] 2 4 2 3 4 2 2 3" xfId="7255"/>
    <cellStyle name="Comma [0] 2 4 2 3 4 2 3" xfId="7256"/>
    <cellStyle name="Comma [0] 2 4 2 3 4 2 4" xfId="7257"/>
    <cellStyle name="Comma [0] 2 4 2 3 4 3" xfId="7258"/>
    <cellStyle name="Comma [0] 2 4 2 3 4 3 2" xfId="7259"/>
    <cellStyle name="Comma [0] 2 4 2 3 4 3 3" xfId="7260"/>
    <cellStyle name="Comma [0] 2 4 2 3 4 4" xfId="7261"/>
    <cellStyle name="Comma [0] 2 4 2 3 4 5" xfId="7262"/>
    <cellStyle name="Comma [0] 2 4 2 3 5" xfId="7263"/>
    <cellStyle name="Comma [0] 2 4 2 3 5 2" xfId="7264"/>
    <cellStyle name="Comma [0] 2 4 2 3 5 2 2" xfId="7265"/>
    <cellStyle name="Comma [0] 2 4 2 3 5 2 3" xfId="7266"/>
    <cellStyle name="Comma [0] 2 4 2 3 5 3" xfId="7267"/>
    <cellStyle name="Comma [0] 2 4 2 3 5 4" xfId="7268"/>
    <cellStyle name="Comma [0] 2 4 2 3 6" xfId="7269"/>
    <cellStyle name="Comma [0] 2 4 2 3 6 2" xfId="7270"/>
    <cellStyle name="Comma [0] 2 4 2 3 6 3" xfId="7271"/>
    <cellStyle name="Comma [0] 2 4 2 3 7" xfId="7272"/>
    <cellStyle name="Comma [0] 2 4 2 3 8" xfId="7273"/>
    <cellStyle name="Comma [0] 2 4 2 3 9" xfId="7274"/>
    <cellStyle name="Comma [0] 2 4 2 4" xfId="7275"/>
    <cellStyle name="Comma [0] 2 4 2 4 2" xfId="7276"/>
    <cellStyle name="Comma [0] 2 4 2 4 2 2" xfId="7277"/>
    <cellStyle name="Comma [0] 2 4 2 4 2 2 2" xfId="7278"/>
    <cellStyle name="Comma [0] 2 4 2 4 2 2 3" xfId="7279"/>
    <cellStyle name="Comma [0] 2 4 2 4 2 3" xfId="7280"/>
    <cellStyle name="Comma [0] 2 4 2 4 2 4" xfId="7281"/>
    <cellStyle name="Comma [0] 2 4 2 4 3" xfId="7282"/>
    <cellStyle name="Comma [0] 2 4 2 4 3 2" xfId="7283"/>
    <cellStyle name="Comma [0] 2 4 2 4 3 3" xfId="7284"/>
    <cellStyle name="Comma [0] 2 4 2 4 4" xfId="7285"/>
    <cellStyle name="Comma [0] 2 4 2 4 5" xfId="7286"/>
    <cellStyle name="Comma [0] 2 4 2 5" xfId="7287"/>
    <cellStyle name="Comma [0] 2 4 2 5 2" xfId="7288"/>
    <cellStyle name="Comma [0] 2 4 2 5 2 2" xfId="7289"/>
    <cellStyle name="Comma [0] 2 4 2 5 2 2 2" xfId="7290"/>
    <cellStyle name="Comma [0] 2 4 2 5 2 2 3" xfId="7291"/>
    <cellStyle name="Comma [0] 2 4 2 5 2 3" xfId="7292"/>
    <cellStyle name="Comma [0] 2 4 2 5 2 4" xfId="7293"/>
    <cellStyle name="Comma [0] 2 4 2 5 3" xfId="7294"/>
    <cellStyle name="Comma [0] 2 4 2 5 3 2" xfId="7295"/>
    <cellStyle name="Comma [0] 2 4 2 5 3 3" xfId="7296"/>
    <cellStyle name="Comma [0] 2 4 2 5 4" xfId="7297"/>
    <cellStyle name="Comma [0] 2 4 2 5 5" xfId="7298"/>
    <cellStyle name="Comma [0] 2 4 2 6" xfId="7299"/>
    <cellStyle name="Comma [0] 2 4 2 6 2" xfId="7300"/>
    <cellStyle name="Comma [0] 2 4 2 6 2 2" xfId="7301"/>
    <cellStyle name="Comma [0] 2 4 2 6 2 2 2" xfId="7302"/>
    <cellStyle name="Comma [0] 2 4 2 6 2 2 3" xfId="7303"/>
    <cellStyle name="Comma [0] 2 4 2 6 2 3" xfId="7304"/>
    <cellStyle name="Comma [0] 2 4 2 6 2 4" xfId="7305"/>
    <cellStyle name="Comma [0] 2 4 2 6 3" xfId="7306"/>
    <cellStyle name="Comma [0] 2 4 2 6 3 2" xfId="7307"/>
    <cellStyle name="Comma [0] 2 4 2 6 3 3" xfId="7308"/>
    <cellStyle name="Comma [0] 2 4 2 6 4" xfId="7309"/>
    <cellStyle name="Comma [0] 2 4 2 6 5" xfId="7310"/>
    <cellStyle name="Comma [0] 2 4 2 7" xfId="7311"/>
    <cellStyle name="Comma [0] 2 4 2 7 2" xfId="7312"/>
    <cellStyle name="Comma [0] 2 4 2 7 2 2" xfId="7313"/>
    <cellStyle name="Comma [0] 2 4 2 7 2 3" xfId="7314"/>
    <cellStyle name="Comma [0] 2 4 2 7 3" xfId="7315"/>
    <cellStyle name="Comma [0] 2 4 2 7 4" xfId="7316"/>
    <cellStyle name="Comma [0] 2 4 2 8" xfId="7317"/>
    <cellStyle name="Comma [0] 2 4 2 8 2" xfId="7318"/>
    <cellStyle name="Comma [0] 2 4 2 8 3" xfId="7319"/>
    <cellStyle name="Comma [0] 2 4 2 9" xfId="7320"/>
    <cellStyle name="Comma [0] 2 4 3" xfId="7321"/>
    <cellStyle name="Comma [0] 2 4 3 10" xfId="7322"/>
    <cellStyle name="Comma [0] 2 4 3 2" xfId="7323"/>
    <cellStyle name="Comma [0] 2 4 3 2 2" xfId="7324"/>
    <cellStyle name="Comma [0] 2 4 3 2 2 2" xfId="7325"/>
    <cellStyle name="Comma [0] 2 4 3 2 2 2 2" xfId="7326"/>
    <cellStyle name="Comma [0] 2 4 3 2 2 2 2 2" xfId="7327"/>
    <cellStyle name="Comma [0] 2 4 3 2 2 2 2 3" xfId="7328"/>
    <cellStyle name="Comma [0] 2 4 3 2 2 2 3" xfId="7329"/>
    <cellStyle name="Comma [0] 2 4 3 2 2 2 4" xfId="7330"/>
    <cellStyle name="Comma [0] 2 4 3 2 2 3" xfId="7331"/>
    <cellStyle name="Comma [0] 2 4 3 2 2 3 2" xfId="7332"/>
    <cellStyle name="Comma [0] 2 4 3 2 2 3 3" xfId="7333"/>
    <cellStyle name="Comma [0] 2 4 3 2 2 4" xfId="7334"/>
    <cellStyle name="Comma [0] 2 4 3 2 2 5" xfId="7335"/>
    <cellStyle name="Comma [0] 2 4 3 2 3" xfId="7336"/>
    <cellStyle name="Comma [0] 2 4 3 2 3 2" xfId="7337"/>
    <cellStyle name="Comma [0] 2 4 3 2 3 2 2" xfId="7338"/>
    <cellStyle name="Comma [0] 2 4 3 2 3 2 2 2" xfId="7339"/>
    <cellStyle name="Comma [0] 2 4 3 2 3 2 2 3" xfId="7340"/>
    <cellStyle name="Comma [0] 2 4 3 2 3 2 3" xfId="7341"/>
    <cellStyle name="Comma [0] 2 4 3 2 3 2 4" xfId="7342"/>
    <cellStyle name="Comma [0] 2 4 3 2 3 3" xfId="7343"/>
    <cellStyle name="Comma [0] 2 4 3 2 3 3 2" xfId="7344"/>
    <cellStyle name="Comma [0] 2 4 3 2 3 3 3" xfId="7345"/>
    <cellStyle name="Comma [0] 2 4 3 2 3 4" xfId="7346"/>
    <cellStyle name="Comma [0] 2 4 3 2 3 5" xfId="7347"/>
    <cellStyle name="Comma [0] 2 4 3 2 4" xfId="7348"/>
    <cellStyle name="Comma [0] 2 4 3 2 4 2" xfId="7349"/>
    <cellStyle name="Comma [0] 2 4 3 2 4 2 2" xfId="7350"/>
    <cellStyle name="Comma [0] 2 4 3 2 4 2 2 2" xfId="7351"/>
    <cellStyle name="Comma [0] 2 4 3 2 4 2 2 3" xfId="7352"/>
    <cellStyle name="Comma [0] 2 4 3 2 4 2 3" xfId="7353"/>
    <cellStyle name="Comma [0] 2 4 3 2 4 2 4" xfId="7354"/>
    <cellStyle name="Comma [0] 2 4 3 2 4 3" xfId="7355"/>
    <cellStyle name="Comma [0] 2 4 3 2 4 3 2" xfId="7356"/>
    <cellStyle name="Comma [0] 2 4 3 2 4 3 3" xfId="7357"/>
    <cellStyle name="Comma [0] 2 4 3 2 4 4" xfId="7358"/>
    <cellStyle name="Comma [0] 2 4 3 2 4 5" xfId="7359"/>
    <cellStyle name="Comma [0] 2 4 3 2 5" xfId="7360"/>
    <cellStyle name="Comma [0] 2 4 3 2 5 2" xfId="7361"/>
    <cellStyle name="Comma [0] 2 4 3 2 5 2 2" xfId="7362"/>
    <cellStyle name="Comma [0] 2 4 3 2 5 2 3" xfId="7363"/>
    <cellStyle name="Comma [0] 2 4 3 2 5 3" xfId="7364"/>
    <cellStyle name="Comma [0] 2 4 3 2 5 4" xfId="7365"/>
    <cellStyle name="Comma [0] 2 4 3 2 6" xfId="7366"/>
    <cellStyle name="Comma [0] 2 4 3 2 6 2" xfId="7367"/>
    <cellStyle name="Comma [0] 2 4 3 2 6 3" xfId="7368"/>
    <cellStyle name="Comma [0] 2 4 3 2 7" xfId="7369"/>
    <cellStyle name="Comma [0] 2 4 3 2 8" xfId="7370"/>
    <cellStyle name="Comma [0] 2 4 3 2 9" xfId="7371"/>
    <cellStyle name="Comma [0] 2 4 3 3" xfId="7372"/>
    <cellStyle name="Comma [0] 2 4 3 3 2" xfId="7373"/>
    <cellStyle name="Comma [0] 2 4 3 3 2 2" xfId="7374"/>
    <cellStyle name="Comma [0] 2 4 3 3 2 2 2" xfId="7375"/>
    <cellStyle name="Comma [0] 2 4 3 3 2 2 3" xfId="7376"/>
    <cellStyle name="Comma [0] 2 4 3 3 2 3" xfId="7377"/>
    <cellStyle name="Comma [0] 2 4 3 3 2 4" xfId="7378"/>
    <cellStyle name="Comma [0] 2 4 3 3 3" xfId="7379"/>
    <cellStyle name="Comma [0] 2 4 3 3 3 2" xfId="7380"/>
    <cellStyle name="Comma [0] 2 4 3 3 3 3" xfId="7381"/>
    <cellStyle name="Comma [0] 2 4 3 3 4" xfId="7382"/>
    <cellStyle name="Comma [0] 2 4 3 3 5" xfId="7383"/>
    <cellStyle name="Comma [0] 2 4 3 4" xfId="7384"/>
    <cellStyle name="Comma [0] 2 4 3 4 2" xfId="7385"/>
    <cellStyle name="Comma [0] 2 4 3 4 2 2" xfId="7386"/>
    <cellStyle name="Comma [0] 2 4 3 4 2 2 2" xfId="7387"/>
    <cellStyle name="Comma [0] 2 4 3 4 2 2 3" xfId="7388"/>
    <cellStyle name="Comma [0] 2 4 3 4 2 3" xfId="7389"/>
    <cellStyle name="Comma [0] 2 4 3 4 2 4" xfId="7390"/>
    <cellStyle name="Comma [0] 2 4 3 4 3" xfId="7391"/>
    <cellStyle name="Comma [0] 2 4 3 4 3 2" xfId="7392"/>
    <cellStyle name="Comma [0] 2 4 3 4 3 3" xfId="7393"/>
    <cellStyle name="Comma [0] 2 4 3 4 4" xfId="7394"/>
    <cellStyle name="Comma [0] 2 4 3 4 5" xfId="7395"/>
    <cellStyle name="Comma [0] 2 4 3 5" xfId="7396"/>
    <cellStyle name="Comma [0] 2 4 3 5 2" xfId="7397"/>
    <cellStyle name="Comma [0] 2 4 3 5 2 2" xfId="7398"/>
    <cellStyle name="Comma [0] 2 4 3 5 2 2 2" xfId="7399"/>
    <cellStyle name="Comma [0] 2 4 3 5 2 2 3" xfId="7400"/>
    <cellStyle name="Comma [0] 2 4 3 5 2 3" xfId="7401"/>
    <cellStyle name="Comma [0] 2 4 3 5 2 4" xfId="7402"/>
    <cellStyle name="Comma [0] 2 4 3 5 3" xfId="7403"/>
    <cellStyle name="Comma [0] 2 4 3 5 3 2" xfId="7404"/>
    <cellStyle name="Comma [0] 2 4 3 5 3 3" xfId="7405"/>
    <cellStyle name="Comma [0] 2 4 3 5 4" xfId="7406"/>
    <cellStyle name="Comma [0] 2 4 3 5 5" xfId="7407"/>
    <cellStyle name="Comma [0] 2 4 3 6" xfId="7408"/>
    <cellStyle name="Comma [0] 2 4 3 6 2" xfId="7409"/>
    <cellStyle name="Comma [0] 2 4 3 6 2 2" xfId="7410"/>
    <cellStyle name="Comma [0] 2 4 3 6 2 3" xfId="7411"/>
    <cellStyle name="Comma [0] 2 4 3 6 3" xfId="7412"/>
    <cellStyle name="Comma [0] 2 4 3 6 4" xfId="7413"/>
    <cellStyle name="Comma [0] 2 4 3 7" xfId="7414"/>
    <cellStyle name="Comma [0] 2 4 3 7 2" xfId="7415"/>
    <cellStyle name="Comma [0] 2 4 3 7 3" xfId="7416"/>
    <cellStyle name="Comma [0] 2 4 3 8" xfId="7417"/>
    <cellStyle name="Comma [0] 2 4 3 9" xfId="7418"/>
    <cellStyle name="Comma [0] 2 4 4" xfId="7419"/>
    <cellStyle name="Comma [0] 2 4 4 10" xfId="7420"/>
    <cellStyle name="Comma [0] 2 4 4 2" xfId="7421"/>
    <cellStyle name="Comma [0] 2 4 4 2 2" xfId="7422"/>
    <cellStyle name="Comma [0] 2 4 4 2 2 2" xfId="7423"/>
    <cellStyle name="Comma [0] 2 4 4 2 2 2 2" xfId="7424"/>
    <cellStyle name="Comma [0] 2 4 4 2 2 2 2 2" xfId="7425"/>
    <cellStyle name="Comma [0] 2 4 4 2 2 2 2 3" xfId="7426"/>
    <cellStyle name="Comma [0] 2 4 4 2 2 2 3" xfId="7427"/>
    <cellStyle name="Comma [0] 2 4 4 2 2 2 4" xfId="7428"/>
    <cellStyle name="Comma [0] 2 4 4 2 2 3" xfId="7429"/>
    <cellStyle name="Comma [0] 2 4 4 2 2 3 2" xfId="7430"/>
    <cellStyle name="Comma [0] 2 4 4 2 2 3 3" xfId="7431"/>
    <cellStyle name="Comma [0] 2 4 4 2 2 4" xfId="7432"/>
    <cellStyle name="Comma [0] 2 4 4 2 2 5" xfId="7433"/>
    <cellStyle name="Comma [0] 2 4 4 2 3" xfId="7434"/>
    <cellStyle name="Comma [0] 2 4 4 2 3 2" xfId="7435"/>
    <cellStyle name="Comma [0] 2 4 4 2 3 2 2" xfId="7436"/>
    <cellStyle name="Comma [0] 2 4 4 2 3 2 2 2" xfId="7437"/>
    <cellStyle name="Comma [0] 2 4 4 2 3 2 2 3" xfId="7438"/>
    <cellStyle name="Comma [0] 2 4 4 2 3 2 3" xfId="7439"/>
    <cellStyle name="Comma [0] 2 4 4 2 3 2 4" xfId="7440"/>
    <cellStyle name="Comma [0] 2 4 4 2 3 3" xfId="7441"/>
    <cellStyle name="Comma [0] 2 4 4 2 3 3 2" xfId="7442"/>
    <cellStyle name="Comma [0] 2 4 4 2 3 3 3" xfId="7443"/>
    <cellStyle name="Comma [0] 2 4 4 2 3 4" xfId="7444"/>
    <cellStyle name="Comma [0] 2 4 4 2 3 5" xfId="7445"/>
    <cellStyle name="Comma [0] 2 4 4 2 4" xfId="7446"/>
    <cellStyle name="Comma [0] 2 4 4 2 4 2" xfId="7447"/>
    <cellStyle name="Comma [0] 2 4 4 2 4 2 2" xfId="7448"/>
    <cellStyle name="Comma [0] 2 4 4 2 4 2 2 2" xfId="7449"/>
    <cellStyle name="Comma [0] 2 4 4 2 4 2 2 3" xfId="7450"/>
    <cellStyle name="Comma [0] 2 4 4 2 4 2 3" xfId="7451"/>
    <cellStyle name="Comma [0] 2 4 4 2 4 2 4" xfId="7452"/>
    <cellStyle name="Comma [0] 2 4 4 2 4 3" xfId="7453"/>
    <cellStyle name="Comma [0] 2 4 4 2 4 3 2" xfId="7454"/>
    <cellStyle name="Comma [0] 2 4 4 2 4 3 3" xfId="7455"/>
    <cellStyle name="Comma [0] 2 4 4 2 4 4" xfId="7456"/>
    <cellStyle name="Comma [0] 2 4 4 2 4 5" xfId="7457"/>
    <cellStyle name="Comma [0] 2 4 4 2 5" xfId="7458"/>
    <cellStyle name="Comma [0] 2 4 4 2 5 2" xfId="7459"/>
    <cellStyle name="Comma [0] 2 4 4 2 5 2 2" xfId="7460"/>
    <cellStyle name="Comma [0] 2 4 4 2 5 2 3" xfId="7461"/>
    <cellStyle name="Comma [0] 2 4 4 2 5 3" xfId="7462"/>
    <cellStyle name="Comma [0] 2 4 4 2 5 4" xfId="7463"/>
    <cellStyle name="Comma [0] 2 4 4 2 6" xfId="7464"/>
    <cellStyle name="Comma [0] 2 4 4 2 6 2" xfId="7465"/>
    <cellStyle name="Comma [0] 2 4 4 2 6 3" xfId="7466"/>
    <cellStyle name="Comma [0] 2 4 4 2 7" xfId="7467"/>
    <cellStyle name="Comma [0] 2 4 4 2 8" xfId="7468"/>
    <cellStyle name="Comma [0] 2 4 4 2 9" xfId="7469"/>
    <cellStyle name="Comma [0] 2 4 4 3" xfId="7470"/>
    <cellStyle name="Comma [0] 2 4 4 3 2" xfId="7471"/>
    <cellStyle name="Comma [0] 2 4 4 3 2 2" xfId="7472"/>
    <cellStyle name="Comma [0] 2 4 4 3 2 2 2" xfId="7473"/>
    <cellStyle name="Comma [0] 2 4 4 3 2 2 3" xfId="7474"/>
    <cellStyle name="Comma [0] 2 4 4 3 2 3" xfId="7475"/>
    <cellStyle name="Comma [0] 2 4 4 3 2 4" xfId="7476"/>
    <cellStyle name="Comma [0] 2 4 4 3 3" xfId="7477"/>
    <cellStyle name="Comma [0] 2 4 4 3 3 2" xfId="7478"/>
    <cellStyle name="Comma [0] 2 4 4 3 3 3" xfId="7479"/>
    <cellStyle name="Comma [0] 2 4 4 3 4" xfId="7480"/>
    <cellStyle name="Comma [0] 2 4 4 3 5" xfId="7481"/>
    <cellStyle name="Comma [0] 2 4 4 4" xfId="7482"/>
    <cellStyle name="Comma [0] 2 4 4 4 2" xfId="7483"/>
    <cellStyle name="Comma [0] 2 4 4 4 2 2" xfId="7484"/>
    <cellStyle name="Comma [0] 2 4 4 4 2 2 2" xfId="7485"/>
    <cellStyle name="Comma [0] 2 4 4 4 2 2 3" xfId="7486"/>
    <cellStyle name="Comma [0] 2 4 4 4 2 3" xfId="7487"/>
    <cellStyle name="Comma [0] 2 4 4 4 2 4" xfId="7488"/>
    <cellStyle name="Comma [0] 2 4 4 4 3" xfId="7489"/>
    <cellStyle name="Comma [0] 2 4 4 4 3 2" xfId="7490"/>
    <cellStyle name="Comma [0] 2 4 4 4 3 3" xfId="7491"/>
    <cellStyle name="Comma [0] 2 4 4 4 4" xfId="7492"/>
    <cellStyle name="Comma [0] 2 4 4 4 5" xfId="7493"/>
    <cellStyle name="Comma [0] 2 4 4 5" xfId="7494"/>
    <cellStyle name="Comma [0] 2 4 4 5 2" xfId="7495"/>
    <cellStyle name="Comma [0] 2 4 4 5 2 2" xfId="7496"/>
    <cellStyle name="Comma [0] 2 4 4 5 2 2 2" xfId="7497"/>
    <cellStyle name="Comma [0] 2 4 4 5 2 2 3" xfId="7498"/>
    <cellStyle name="Comma [0] 2 4 4 5 2 3" xfId="7499"/>
    <cellStyle name="Comma [0] 2 4 4 5 2 4" xfId="7500"/>
    <cellStyle name="Comma [0] 2 4 4 5 3" xfId="7501"/>
    <cellStyle name="Comma [0] 2 4 4 5 3 2" xfId="7502"/>
    <cellStyle name="Comma [0] 2 4 4 5 3 3" xfId="7503"/>
    <cellStyle name="Comma [0] 2 4 4 5 4" xfId="7504"/>
    <cellStyle name="Comma [0] 2 4 4 5 5" xfId="7505"/>
    <cellStyle name="Comma [0] 2 4 4 6" xfId="7506"/>
    <cellStyle name="Comma [0] 2 4 4 6 2" xfId="7507"/>
    <cellStyle name="Comma [0] 2 4 4 6 2 2" xfId="7508"/>
    <cellStyle name="Comma [0] 2 4 4 6 2 3" xfId="7509"/>
    <cellStyle name="Comma [0] 2 4 4 6 3" xfId="7510"/>
    <cellStyle name="Comma [0] 2 4 4 6 4" xfId="7511"/>
    <cellStyle name="Comma [0] 2 4 4 7" xfId="7512"/>
    <cellStyle name="Comma [0] 2 4 4 7 2" xfId="7513"/>
    <cellStyle name="Comma [0] 2 4 4 7 3" xfId="7514"/>
    <cellStyle name="Comma [0] 2 4 4 8" xfId="7515"/>
    <cellStyle name="Comma [0] 2 4 4 9" xfId="7516"/>
    <cellStyle name="Comma [0] 2 4 5" xfId="7517"/>
    <cellStyle name="Comma [0] 2 4 5 2" xfId="7518"/>
    <cellStyle name="Comma [0] 2 4 5 2 2" xfId="7519"/>
    <cellStyle name="Comma [0] 2 4 5 2 2 2" xfId="7520"/>
    <cellStyle name="Comma [0] 2 4 5 2 2 2 2" xfId="7521"/>
    <cellStyle name="Comma [0] 2 4 5 2 2 2 3" xfId="7522"/>
    <cellStyle name="Comma [0] 2 4 5 2 2 3" xfId="7523"/>
    <cellStyle name="Comma [0] 2 4 5 2 2 4" xfId="7524"/>
    <cellStyle name="Comma [0] 2 4 5 2 3" xfId="7525"/>
    <cellStyle name="Comma [0] 2 4 5 2 3 2" xfId="7526"/>
    <cellStyle name="Comma [0] 2 4 5 2 3 3" xfId="7527"/>
    <cellStyle name="Comma [0] 2 4 5 2 4" xfId="7528"/>
    <cellStyle name="Comma [0] 2 4 5 2 5" xfId="7529"/>
    <cellStyle name="Comma [0] 2 4 5 3" xfId="7530"/>
    <cellStyle name="Comma [0] 2 4 5 3 2" xfId="7531"/>
    <cellStyle name="Comma [0] 2 4 5 3 2 2" xfId="7532"/>
    <cellStyle name="Comma [0] 2 4 5 3 2 2 2" xfId="7533"/>
    <cellStyle name="Comma [0] 2 4 5 3 2 2 3" xfId="7534"/>
    <cellStyle name="Comma [0] 2 4 5 3 2 3" xfId="7535"/>
    <cellStyle name="Comma [0] 2 4 5 3 2 4" xfId="7536"/>
    <cellStyle name="Comma [0] 2 4 5 3 3" xfId="7537"/>
    <cellStyle name="Comma [0] 2 4 5 3 3 2" xfId="7538"/>
    <cellStyle name="Comma [0] 2 4 5 3 3 3" xfId="7539"/>
    <cellStyle name="Comma [0] 2 4 5 3 4" xfId="7540"/>
    <cellStyle name="Comma [0] 2 4 5 3 5" xfId="7541"/>
    <cellStyle name="Comma [0] 2 4 5 4" xfId="7542"/>
    <cellStyle name="Comma [0] 2 4 5 4 2" xfId="7543"/>
    <cellStyle name="Comma [0] 2 4 5 4 2 2" xfId="7544"/>
    <cellStyle name="Comma [0] 2 4 5 4 2 2 2" xfId="7545"/>
    <cellStyle name="Comma [0] 2 4 5 4 2 2 3" xfId="7546"/>
    <cellStyle name="Comma [0] 2 4 5 4 2 3" xfId="7547"/>
    <cellStyle name="Comma [0] 2 4 5 4 2 4" xfId="7548"/>
    <cellStyle name="Comma [0] 2 4 5 4 3" xfId="7549"/>
    <cellStyle name="Comma [0] 2 4 5 4 3 2" xfId="7550"/>
    <cellStyle name="Comma [0] 2 4 5 4 3 3" xfId="7551"/>
    <cellStyle name="Comma [0] 2 4 5 4 4" xfId="7552"/>
    <cellStyle name="Comma [0] 2 4 5 4 5" xfId="7553"/>
    <cellStyle name="Comma [0] 2 4 5 5" xfId="7554"/>
    <cellStyle name="Comma [0] 2 4 5 5 2" xfId="7555"/>
    <cellStyle name="Comma [0] 2 4 5 5 2 2" xfId="7556"/>
    <cellStyle name="Comma [0] 2 4 5 5 2 3" xfId="7557"/>
    <cellStyle name="Comma [0] 2 4 5 5 3" xfId="7558"/>
    <cellStyle name="Comma [0] 2 4 5 5 4" xfId="7559"/>
    <cellStyle name="Comma [0] 2 4 5 6" xfId="7560"/>
    <cellStyle name="Comma [0] 2 4 5 6 2" xfId="7561"/>
    <cellStyle name="Comma [0] 2 4 5 6 3" xfId="7562"/>
    <cellStyle name="Comma [0] 2 4 5 7" xfId="7563"/>
    <cellStyle name="Comma [0] 2 4 5 8" xfId="7564"/>
    <cellStyle name="Comma [0] 2 4 5 9" xfId="7565"/>
    <cellStyle name="Comma [0] 2 4 6" xfId="7566"/>
    <cellStyle name="Comma [0] 2 4 6 2" xfId="7567"/>
    <cellStyle name="Comma [0] 2 4 6 2 2" xfId="7568"/>
    <cellStyle name="Comma [0] 2 4 6 2 2 2" xfId="7569"/>
    <cellStyle name="Comma [0] 2 4 6 2 2 2 2" xfId="7570"/>
    <cellStyle name="Comma [0] 2 4 6 2 2 2 3" xfId="7571"/>
    <cellStyle name="Comma [0] 2 4 6 2 2 3" xfId="7572"/>
    <cellStyle name="Comma [0] 2 4 6 2 2 4" xfId="7573"/>
    <cellStyle name="Comma [0] 2 4 6 2 3" xfId="7574"/>
    <cellStyle name="Comma [0] 2 4 6 2 3 2" xfId="7575"/>
    <cellStyle name="Comma [0] 2 4 6 2 3 3" xfId="7576"/>
    <cellStyle name="Comma [0] 2 4 6 2 4" xfId="7577"/>
    <cellStyle name="Comma [0] 2 4 6 2 5" xfId="7578"/>
    <cellStyle name="Comma [0] 2 4 6 3" xfId="7579"/>
    <cellStyle name="Comma [0] 2 4 6 3 2" xfId="7580"/>
    <cellStyle name="Comma [0] 2 4 6 3 2 2" xfId="7581"/>
    <cellStyle name="Comma [0] 2 4 6 3 2 2 2" xfId="7582"/>
    <cellStyle name="Comma [0] 2 4 6 3 2 2 3" xfId="7583"/>
    <cellStyle name="Comma [0] 2 4 6 3 2 3" xfId="7584"/>
    <cellStyle name="Comma [0] 2 4 6 3 2 4" xfId="7585"/>
    <cellStyle name="Comma [0] 2 4 6 3 3" xfId="7586"/>
    <cellStyle name="Comma [0] 2 4 6 3 3 2" xfId="7587"/>
    <cellStyle name="Comma [0] 2 4 6 3 3 3" xfId="7588"/>
    <cellStyle name="Comma [0] 2 4 6 3 4" xfId="7589"/>
    <cellStyle name="Comma [0] 2 4 6 3 5" xfId="7590"/>
    <cellStyle name="Comma [0] 2 4 6 4" xfId="7591"/>
    <cellStyle name="Comma [0] 2 4 6 4 2" xfId="7592"/>
    <cellStyle name="Comma [0] 2 4 6 4 2 2" xfId="7593"/>
    <cellStyle name="Comma [0] 2 4 6 4 2 2 2" xfId="7594"/>
    <cellStyle name="Comma [0] 2 4 6 4 2 2 3" xfId="7595"/>
    <cellStyle name="Comma [0] 2 4 6 4 2 3" xfId="7596"/>
    <cellStyle name="Comma [0] 2 4 6 4 2 4" xfId="7597"/>
    <cellStyle name="Comma [0] 2 4 6 4 3" xfId="7598"/>
    <cellStyle name="Comma [0] 2 4 6 4 3 2" xfId="7599"/>
    <cellStyle name="Comma [0] 2 4 6 4 3 3" xfId="7600"/>
    <cellStyle name="Comma [0] 2 4 6 4 4" xfId="7601"/>
    <cellStyle name="Comma [0] 2 4 6 4 5" xfId="7602"/>
    <cellStyle name="Comma [0] 2 4 6 5" xfId="7603"/>
    <cellStyle name="Comma [0] 2 4 6 5 2" xfId="7604"/>
    <cellStyle name="Comma [0] 2 4 6 5 2 2" xfId="7605"/>
    <cellStyle name="Comma [0] 2 4 6 5 2 3" xfId="7606"/>
    <cellStyle name="Comma [0] 2 4 6 5 3" xfId="7607"/>
    <cellStyle name="Comma [0] 2 4 6 5 4" xfId="7608"/>
    <cellStyle name="Comma [0] 2 4 6 6" xfId="7609"/>
    <cellStyle name="Comma [0] 2 4 6 6 2" xfId="7610"/>
    <cellStyle name="Comma [0] 2 4 6 6 3" xfId="7611"/>
    <cellStyle name="Comma [0] 2 4 6 7" xfId="7612"/>
    <cellStyle name="Comma [0] 2 4 6 8" xfId="7613"/>
    <cellStyle name="Comma [0] 2 4 6 9" xfId="7614"/>
    <cellStyle name="Comma [0] 2 4 7" xfId="7615"/>
    <cellStyle name="Comma [0] 2 4 7 2" xfId="7616"/>
    <cellStyle name="Comma [0] 2 4 7 2 2" xfId="7617"/>
    <cellStyle name="Comma [0] 2 4 7 2 2 2" xfId="7618"/>
    <cellStyle name="Comma [0] 2 4 7 2 2 2 2" xfId="7619"/>
    <cellStyle name="Comma [0] 2 4 7 2 2 2 3" xfId="7620"/>
    <cellStyle name="Comma [0] 2 4 7 2 2 3" xfId="7621"/>
    <cellStyle name="Comma [0] 2 4 7 2 2 4" xfId="7622"/>
    <cellStyle name="Comma [0] 2 4 7 2 3" xfId="7623"/>
    <cellStyle name="Comma [0] 2 4 7 2 3 2" xfId="7624"/>
    <cellStyle name="Comma [0] 2 4 7 2 3 3" xfId="7625"/>
    <cellStyle name="Comma [0] 2 4 7 2 4" xfId="7626"/>
    <cellStyle name="Comma [0] 2 4 7 2 5" xfId="7627"/>
    <cellStyle name="Comma [0] 2 4 7 3" xfId="7628"/>
    <cellStyle name="Comma [0] 2 4 7 3 2" xfId="7629"/>
    <cellStyle name="Comma [0] 2 4 7 3 2 2" xfId="7630"/>
    <cellStyle name="Comma [0] 2 4 7 3 2 2 2" xfId="7631"/>
    <cellStyle name="Comma [0] 2 4 7 3 2 2 3" xfId="7632"/>
    <cellStyle name="Comma [0] 2 4 7 3 2 3" xfId="7633"/>
    <cellStyle name="Comma [0] 2 4 7 3 2 4" xfId="7634"/>
    <cellStyle name="Comma [0] 2 4 7 3 3" xfId="7635"/>
    <cellStyle name="Comma [0] 2 4 7 3 3 2" xfId="7636"/>
    <cellStyle name="Comma [0] 2 4 7 3 3 3" xfId="7637"/>
    <cellStyle name="Comma [0] 2 4 7 3 4" xfId="7638"/>
    <cellStyle name="Comma [0] 2 4 7 3 5" xfId="7639"/>
    <cellStyle name="Comma [0] 2 4 7 4" xfId="7640"/>
    <cellStyle name="Comma [0] 2 4 7 4 2" xfId="7641"/>
    <cellStyle name="Comma [0] 2 4 7 4 2 2" xfId="7642"/>
    <cellStyle name="Comma [0] 2 4 7 4 2 2 2" xfId="7643"/>
    <cellStyle name="Comma [0] 2 4 7 4 2 2 3" xfId="7644"/>
    <cellStyle name="Comma [0] 2 4 7 4 2 3" xfId="7645"/>
    <cellStyle name="Comma [0] 2 4 7 4 2 4" xfId="7646"/>
    <cellStyle name="Comma [0] 2 4 7 4 3" xfId="7647"/>
    <cellStyle name="Comma [0] 2 4 7 4 3 2" xfId="7648"/>
    <cellStyle name="Comma [0] 2 4 7 4 3 3" xfId="7649"/>
    <cellStyle name="Comma [0] 2 4 7 4 4" xfId="7650"/>
    <cellStyle name="Comma [0] 2 4 7 4 5" xfId="7651"/>
    <cellStyle name="Comma [0] 2 4 7 5" xfId="7652"/>
    <cellStyle name="Comma [0] 2 4 7 5 2" xfId="7653"/>
    <cellStyle name="Comma [0] 2 4 7 5 2 2" xfId="7654"/>
    <cellStyle name="Comma [0] 2 4 7 5 2 3" xfId="7655"/>
    <cellStyle name="Comma [0] 2 4 7 5 3" xfId="7656"/>
    <cellStyle name="Comma [0] 2 4 7 5 4" xfId="7657"/>
    <cellStyle name="Comma [0] 2 4 7 6" xfId="7658"/>
    <cellStyle name="Comma [0] 2 4 7 6 2" xfId="7659"/>
    <cellStyle name="Comma [0] 2 4 7 6 3" xfId="7660"/>
    <cellStyle name="Comma [0] 2 4 7 7" xfId="7661"/>
    <cellStyle name="Comma [0] 2 4 7 8" xfId="7662"/>
    <cellStyle name="Comma [0] 2 4 7 9" xfId="7663"/>
    <cellStyle name="Comma [0] 2 4 8" xfId="7664"/>
    <cellStyle name="Comma [0] 2 5" xfId="7665"/>
    <cellStyle name="Comma [0] 2 5 10" xfId="7666"/>
    <cellStyle name="Comma [0] 2 5 10 2" xfId="7667"/>
    <cellStyle name="Comma [0] 2 5 10 2 2" xfId="7668"/>
    <cellStyle name="Comma [0] 2 5 10 2 3" xfId="7669"/>
    <cellStyle name="Comma [0] 2 5 10 3" xfId="7670"/>
    <cellStyle name="Comma [0] 2 5 10 4" xfId="7671"/>
    <cellStyle name="Comma [0] 2 5 11" xfId="7672"/>
    <cellStyle name="Comma [0] 2 5 11 2" xfId="7673"/>
    <cellStyle name="Comma [0] 2 5 11 3" xfId="7674"/>
    <cellStyle name="Comma [0] 2 5 12" xfId="7675"/>
    <cellStyle name="Comma [0] 2 5 13" xfId="7676"/>
    <cellStyle name="Comma [0] 2 5 14" xfId="7677"/>
    <cellStyle name="Comma [0] 2 5 2" xfId="7678"/>
    <cellStyle name="Comma [0] 2 5 2 10" xfId="7679"/>
    <cellStyle name="Comma [0] 2 5 2 11" xfId="7680"/>
    <cellStyle name="Comma [0] 2 5 2 2" xfId="7681"/>
    <cellStyle name="Comma [0] 2 5 2 2 2" xfId="7682"/>
    <cellStyle name="Comma [0] 2 5 2 2 2 2" xfId="7683"/>
    <cellStyle name="Comma [0] 2 5 2 2 2 2 2" xfId="7684"/>
    <cellStyle name="Comma [0] 2 5 2 2 2 2 2 2" xfId="7685"/>
    <cellStyle name="Comma [0] 2 5 2 2 2 2 2 3" xfId="7686"/>
    <cellStyle name="Comma [0] 2 5 2 2 2 2 3" xfId="7687"/>
    <cellStyle name="Comma [0] 2 5 2 2 2 2 4" xfId="7688"/>
    <cellStyle name="Comma [0] 2 5 2 2 2 3" xfId="7689"/>
    <cellStyle name="Comma [0] 2 5 2 2 2 3 2" xfId="7690"/>
    <cellStyle name="Comma [0] 2 5 2 2 2 3 3" xfId="7691"/>
    <cellStyle name="Comma [0] 2 5 2 2 2 4" xfId="7692"/>
    <cellStyle name="Comma [0] 2 5 2 2 2 5" xfId="7693"/>
    <cellStyle name="Comma [0] 2 5 2 2 3" xfId="7694"/>
    <cellStyle name="Comma [0] 2 5 2 2 3 2" xfId="7695"/>
    <cellStyle name="Comma [0] 2 5 2 2 3 2 2" xfId="7696"/>
    <cellStyle name="Comma [0] 2 5 2 2 3 2 2 2" xfId="7697"/>
    <cellStyle name="Comma [0] 2 5 2 2 3 2 2 3" xfId="7698"/>
    <cellStyle name="Comma [0] 2 5 2 2 3 2 3" xfId="7699"/>
    <cellStyle name="Comma [0] 2 5 2 2 3 2 4" xfId="7700"/>
    <cellStyle name="Comma [0] 2 5 2 2 3 3" xfId="7701"/>
    <cellStyle name="Comma [0] 2 5 2 2 3 3 2" xfId="7702"/>
    <cellStyle name="Comma [0] 2 5 2 2 3 3 3" xfId="7703"/>
    <cellStyle name="Comma [0] 2 5 2 2 3 4" xfId="7704"/>
    <cellStyle name="Comma [0] 2 5 2 2 3 5" xfId="7705"/>
    <cellStyle name="Comma [0] 2 5 2 2 4" xfId="7706"/>
    <cellStyle name="Comma [0] 2 5 2 2 4 2" xfId="7707"/>
    <cellStyle name="Comma [0] 2 5 2 2 4 2 2" xfId="7708"/>
    <cellStyle name="Comma [0] 2 5 2 2 4 2 2 2" xfId="7709"/>
    <cellStyle name="Comma [0] 2 5 2 2 4 2 2 3" xfId="7710"/>
    <cellStyle name="Comma [0] 2 5 2 2 4 2 3" xfId="7711"/>
    <cellStyle name="Comma [0] 2 5 2 2 4 2 4" xfId="7712"/>
    <cellStyle name="Comma [0] 2 5 2 2 4 3" xfId="7713"/>
    <cellStyle name="Comma [0] 2 5 2 2 4 3 2" xfId="7714"/>
    <cellStyle name="Comma [0] 2 5 2 2 4 3 3" xfId="7715"/>
    <cellStyle name="Comma [0] 2 5 2 2 4 4" xfId="7716"/>
    <cellStyle name="Comma [0] 2 5 2 2 4 5" xfId="7717"/>
    <cellStyle name="Comma [0] 2 5 2 2 5" xfId="7718"/>
    <cellStyle name="Comma [0] 2 5 2 2 5 2" xfId="7719"/>
    <cellStyle name="Comma [0] 2 5 2 2 5 2 2" xfId="7720"/>
    <cellStyle name="Comma [0] 2 5 2 2 5 2 3" xfId="7721"/>
    <cellStyle name="Comma [0] 2 5 2 2 5 3" xfId="7722"/>
    <cellStyle name="Comma [0] 2 5 2 2 5 4" xfId="7723"/>
    <cellStyle name="Comma [0] 2 5 2 2 6" xfId="7724"/>
    <cellStyle name="Comma [0] 2 5 2 2 6 2" xfId="7725"/>
    <cellStyle name="Comma [0] 2 5 2 2 6 3" xfId="7726"/>
    <cellStyle name="Comma [0] 2 5 2 2 7" xfId="7727"/>
    <cellStyle name="Comma [0] 2 5 2 2 8" xfId="7728"/>
    <cellStyle name="Comma [0] 2 5 2 2 9" xfId="7729"/>
    <cellStyle name="Comma [0] 2 5 2 3" xfId="7730"/>
    <cellStyle name="Comma [0] 2 5 2 3 2" xfId="7731"/>
    <cellStyle name="Comma [0] 2 5 2 3 2 2" xfId="7732"/>
    <cellStyle name="Comma [0] 2 5 2 3 2 2 2" xfId="7733"/>
    <cellStyle name="Comma [0] 2 5 2 3 2 2 2 2" xfId="7734"/>
    <cellStyle name="Comma [0] 2 5 2 3 2 2 2 3" xfId="7735"/>
    <cellStyle name="Comma [0] 2 5 2 3 2 2 3" xfId="7736"/>
    <cellStyle name="Comma [0] 2 5 2 3 2 2 4" xfId="7737"/>
    <cellStyle name="Comma [0] 2 5 2 3 2 3" xfId="7738"/>
    <cellStyle name="Comma [0] 2 5 2 3 2 3 2" xfId="7739"/>
    <cellStyle name="Comma [0] 2 5 2 3 2 3 3" xfId="7740"/>
    <cellStyle name="Comma [0] 2 5 2 3 2 4" xfId="7741"/>
    <cellStyle name="Comma [0] 2 5 2 3 2 5" xfId="7742"/>
    <cellStyle name="Comma [0] 2 5 2 3 3" xfId="7743"/>
    <cellStyle name="Comma [0] 2 5 2 3 3 2" xfId="7744"/>
    <cellStyle name="Comma [0] 2 5 2 3 3 2 2" xfId="7745"/>
    <cellStyle name="Comma [0] 2 5 2 3 3 2 2 2" xfId="7746"/>
    <cellStyle name="Comma [0] 2 5 2 3 3 2 2 3" xfId="7747"/>
    <cellStyle name="Comma [0] 2 5 2 3 3 2 3" xfId="7748"/>
    <cellStyle name="Comma [0] 2 5 2 3 3 2 4" xfId="7749"/>
    <cellStyle name="Comma [0] 2 5 2 3 3 3" xfId="7750"/>
    <cellStyle name="Comma [0] 2 5 2 3 3 3 2" xfId="7751"/>
    <cellStyle name="Comma [0] 2 5 2 3 3 3 3" xfId="7752"/>
    <cellStyle name="Comma [0] 2 5 2 3 3 4" xfId="7753"/>
    <cellStyle name="Comma [0] 2 5 2 3 3 5" xfId="7754"/>
    <cellStyle name="Comma [0] 2 5 2 3 4" xfId="7755"/>
    <cellStyle name="Comma [0] 2 5 2 3 4 2" xfId="7756"/>
    <cellStyle name="Comma [0] 2 5 2 3 4 2 2" xfId="7757"/>
    <cellStyle name="Comma [0] 2 5 2 3 4 2 2 2" xfId="7758"/>
    <cellStyle name="Comma [0] 2 5 2 3 4 2 2 3" xfId="7759"/>
    <cellStyle name="Comma [0] 2 5 2 3 4 2 3" xfId="7760"/>
    <cellStyle name="Comma [0] 2 5 2 3 4 2 4" xfId="7761"/>
    <cellStyle name="Comma [0] 2 5 2 3 4 3" xfId="7762"/>
    <cellStyle name="Comma [0] 2 5 2 3 4 3 2" xfId="7763"/>
    <cellStyle name="Comma [0] 2 5 2 3 4 3 3" xfId="7764"/>
    <cellStyle name="Comma [0] 2 5 2 3 4 4" xfId="7765"/>
    <cellStyle name="Comma [0] 2 5 2 3 4 5" xfId="7766"/>
    <cellStyle name="Comma [0] 2 5 2 3 5" xfId="7767"/>
    <cellStyle name="Comma [0] 2 5 2 3 5 2" xfId="7768"/>
    <cellStyle name="Comma [0] 2 5 2 3 5 2 2" xfId="7769"/>
    <cellStyle name="Comma [0] 2 5 2 3 5 2 3" xfId="7770"/>
    <cellStyle name="Comma [0] 2 5 2 3 5 3" xfId="7771"/>
    <cellStyle name="Comma [0] 2 5 2 3 5 4" xfId="7772"/>
    <cellStyle name="Comma [0] 2 5 2 3 6" xfId="7773"/>
    <cellStyle name="Comma [0] 2 5 2 3 6 2" xfId="7774"/>
    <cellStyle name="Comma [0] 2 5 2 3 6 3" xfId="7775"/>
    <cellStyle name="Comma [0] 2 5 2 3 7" xfId="7776"/>
    <cellStyle name="Comma [0] 2 5 2 3 8" xfId="7777"/>
    <cellStyle name="Comma [0] 2 5 2 3 9" xfId="7778"/>
    <cellStyle name="Comma [0] 2 5 2 4" xfId="7779"/>
    <cellStyle name="Comma [0] 2 5 2 4 2" xfId="7780"/>
    <cellStyle name="Comma [0] 2 5 2 4 2 2" xfId="7781"/>
    <cellStyle name="Comma [0] 2 5 2 4 2 2 2" xfId="7782"/>
    <cellStyle name="Comma [0] 2 5 2 4 2 2 3" xfId="7783"/>
    <cellStyle name="Comma [0] 2 5 2 4 2 3" xfId="7784"/>
    <cellStyle name="Comma [0] 2 5 2 4 2 4" xfId="7785"/>
    <cellStyle name="Comma [0] 2 5 2 4 3" xfId="7786"/>
    <cellStyle name="Comma [0] 2 5 2 4 3 2" xfId="7787"/>
    <cellStyle name="Comma [0] 2 5 2 4 3 3" xfId="7788"/>
    <cellStyle name="Comma [0] 2 5 2 4 4" xfId="7789"/>
    <cellStyle name="Comma [0] 2 5 2 4 5" xfId="7790"/>
    <cellStyle name="Comma [0] 2 5 2 5" xfId="7791"/>
    <cellStyle name="Comma [0] 2 5 2 5 2" xfId="7792"/>
    <cellStyle name="Comma [0] 2 5 2 5 2 2" xfId="7793"/>
    <cellStyle name="Comma [0] 2 5 2 5 2 2 2" xfId="7794"/>
    <cellStyle name="Comma [0] 2 5 2 5 2 2 3" xfId="7795"/>
    <cellStyle name="Comma [0] 2 5 2 5 2 3" xfId="7796"/>
    <cellStyle name="Comma [0] 2 5 2 5 2 4" xfId="7797"/>
    <cellStyle name="Comma [0] 2 5 2 5 3" xfId="7798"/>
    <cellStyle name="Comma [0] 2 5 2 5 3 2" xfId="7799"/>
    <cellStyle name="Comma [0] 2 5 2 5 3 3" xfId="7800"/>
    <cellStyle name="Comma [0] 2 5 2 5 4" xfId="7801"/>
    <cellStyle name="Comma [0] 2 5 2 5 5" xfId="7802"/>
    <cellStyle name="Comma [0] 2 5 2 6" xfId="7803"/>
    <cellStyle name="Comma [0] 2 5 2 6 2" xfId="7804"/>
    <cellStyle name="Comma [0] 2 5 2 6 2 2" xfId="7805"/>
    <cellStyle name="Comma [0] 2 5 2 6 2 2 2" xfId="7806"/>
    <cellStyle name="Comma [0] 2 5 2 6 2 2 3" xfId="7807"/>
    <cellStyle name="Comma [0] 2 5 2 6 2 3" xfId="7808"/>
    <cellStyle name="Comma [0] 2 5 2 6 2 4" xfId="7809"/>
    <cellStyle name="Comma [0] 2 5 2 6 3" xfId="7810"/>
    <cellStyle name="Comma [0] 2 5 2 6 3 2" xfId="7811"/>
    <cellStyle name="Comma [0] 2 5 2 6 3 3" xfId="7812"/>
    <cellStyle name="Comma [0] 2 5 2 6 4" xfId="7813"/>
    <cellStyle name="Comma [0] 2 5 2 6 5" xfId="7814"/>
    <cellStyle name="Comma [0] 2 5 2 7" xfId="7815"/>
    <cellStyle name="Comma [0] 2 5 2 7 2" xfId="7816"/>
    <cellStyle name="Comma [0] 2 5 2 7 2 2" xfId="7817"/>
    <cellStyle name="Comma [0] 2 5 2 7 2 3" xfId="7818"/>
    <cellStyle name="Comma [0] 2 5 2 7 3" xfId="7819"/>
    <cellStyle name="Comma [0] 2 5 2 7 4" xfId="7820"/>
    <cellStyle name="Comma [0] 2 5 2 8" xfId="7821"/>
    <cellStyle name="Comma [0] 2 5 2 8 2" xfId="7822"/>
    <cellStyle name="Comma [0] 2 5 2 8 3" xfId="7823"/>
    <cellStyle name="Comma [0] 2 5 2 9" xfId="7824"/>
    <cellStyle name="Comma [0] 2 5 3" xfId="7825"/>
    <cellStyle name="Comma [0] 2 5 3 10" xfId="7826"/>
    <cellStyle name="Comma [0] 2 5 3 2" xfId="7827"/>
    <cellStyle name="Comma [0] 2 5 3 2 2" xfId="7828"/>
    <cellStyle name="Comma [0] 2 5 3 2 2 2" xfId="7829"/>
    <cellStyle name="Comma [0] 2 5 3 2 2 2 2" xfId="7830"/>
    <cellStyle name="Comma [0] 2 5 3 2 2 2 2 2" xfId="7831"/>
    <cellStyle name="Comma [0] 2 5 3 2 2 2 2 3" xfId="7832"/>
    <cellStyle name="Comma [0] 2 5 3 2 2 2 3" xfId="7833"/>
    <cellStyle name="Comma [0] 2 5 3 2 2 2 4" xfId="7834"/>
    <cellStyle name="Comma [0] 2 5 3 2 2 3" xfId="7835"/>
    <cellStyle name="Comma [0] 2 5 3 2 2 3 2" xfId="7836"/>
    <cellStyle name="Comma [0] 2 5 3 2 2 3 3" xfId="7837"/>
    <cellStyle name="Comma [0] 2 5 3 2 2 4" xfId="7838"/>
    <cellStyle name="Comma [0] 2 5 3 2 2 5" xfId="7839"/>
    <cellStyle name="Comma [0] 2 5 3 2 3" xfId="7840"/>
    <cellStyle name="Comma [0] 2 5 3 2 3 2" xfId="7841"/>
    <cellStyle name="Comma [0] 2 5 3 2 3 2 2" xfId="7842"/>
    <cellStyle name="Comma [0] 2 5 3 2 3 2 2 2" xfId="7843"/>
    <cellStyle name="Comma [0] 2 5 3 2 3 2 2 3" xfId="7844"/>
    <cellStyle name="Comma [0] 2 5 3 2 3 2 3" xfId="7845"/>
    <cellStyle name="Comma [0] 2 5 3 2 3 2 4" xfId="7846"/>
    <cellStyle name="Comma [0] 2 5 3 2 3 3" xfId="7847"/>
    <cellStyle name="Comma [0] 2 5 3 2 3 3 2" xfId="7848"/>
    <cellStyle name="Comma [0] 2 5 3 2 3 3 3" xfId="7849"/>
    <cellStyle name="Comma [0] 2 5 3 2 3 4" xfId="7850"/>
    <cellStyle name="Comma [0] 2 5 3 2 3 5" xfId="7851"/>
    <cellStyle name="Comma [0] 2 5 3 2 4" xfId="7852"/>
    <cellStyle name="Comma [0] 2 5 3 2 4 2" xfId="7853"/>
    <cellStyle name="Comma [0] 2 5 3 2 4 2 2" xfId="7854"/>
    <cellStyle name="Comma [0] 2 5 3 2 4 2 2 2" xfId="7855"/>
    <cellStyle name="Comma [0] 2 5 3 2 4 2 2 3" xfId="7856"/>
    <cellStyle name="Comma [0] 2 5 3 2 4 2 3" xfId="7857"/>
    <cellStyle name="Comma [0] 2 5 3 2 4 2 4" xfId="7858"/>
    <cellStyle name="Comma [0] 2 5 3 2 4 3" xfId="7859"/>
    <cellStyle name="Comma [0] 2 5 3 2 4 3 2" xfId="7860"/>
    <cellStyle name="Comma [0] 2 5 3 2 4 3 3" xfId="7861"/>
    <cellStyle name="Comma [0] 2 5 3 2 4 4" xfId="7862"/>
    <cellStyle name="Comma [0] 2 5 3 2 4 5" xfId="7863"/>
    <cellStyle name="Comma [0] 2 5 3 2 5" xfId="7864"/>
    <cellStyle name="Comma [0] 2 5 3 2 5 2" xfId="7865"/>
    <cellStyle name="Comma [0] 2 5 3 2 5 2 2" xfId="7866"/>
    <cellStyle name="Comma [0] 2 5 3 2 5 2 3" xfId="7867"/>
    <cellStyle name="Comma [0] 2 5 3 2 5 3" xfId="7868"/>
    <cellStyle name="Comma [0] 2 5 3 2 5 4" xfId="7869"/>
    <cellStyle name="Comma [0] 2 5 3 2 6" xfId="7870"/>
    <cellStyle name="Comma [0] 2 5 3 2 6 2" xfId="7871"/>
    <cellStyle name="Comma [0] 2 5 3 2 6 3" xfId="7872"/>
    <cellStyle name="Comma [0] 2 5 3 2 7" xfId="7873"/>
    <cellStyle name="Comma [0] 2 5 3 2 8" xfId="7874"/>
    <cellStyle name="Comma [0] 2 5 3 2 9" xfId="7875"/>
    <cellStyle name="Comma [0] 2 5 3 3" xfId="7876"/>
    <cellStyle name="Comma [0] 2 5 3 3 2" xfId="7877"/>
    <cellStyle name="Comma [0] 2 5 3 3 2 2" xfId="7878"/>
    <cellStyle name="Comma [0] 2 5 3 3 2 2 2" xfId="7879"/>
    <cellStyle name="Comma [0] 2 5 3 3 2 2 3" xfId="7880"/>
    <cellStyle name="Comma [0] 2 5 3 3 2 3" xfId="7881"/>
    <cellStyle name="Comma [0] 2 5 3 3 2 4" xfId="7882"/>
    <cellStyle name="Comma [0] 2 5 3 3 3" xfId="7883"/>
    <cellStyle name="Comma [0] 2 5 3 3 3 2" xfId="7884"/>
    <cellStyle name="Comma [0] 2 5 3 3 3 3" xfId="7885"/>
    <cellStyle name="Comma [0] 2 5 3 3 4" xfId="7886"/>
    <cellStyle name="Comma [0] 2 5 3 3 5" xfId="7887"/>
    <cellStyle name="Comma [0] 2 5 3 4" xfId="7888"/>
    <cellStyle name="Comma [0] 2 5 3 4 2" xfId="7889"/>
    <cellStyle name="Comma [0] 2 5 3 4 2 2" xfId="7890"/>
    <cellStyle name="Comma [0] 2 5 3 4 2 2 2" xfId="7891"/>
    <cellStyle name="Comma [0] 2 5 3 4 2 2 3" xfId="7892"/>
    <cellStyle name="Comma [0] 2 5 3 4 2 3" xfId="7893"/>
    <cellStyle name="Comma [0] 2 5 3 4 2 4" xfId="7894"/>
    <cellStyle name="Comma [0] 2 5 3 4 3" xfId="7895"/>
    <cellStyle name="Comma [0] 2 5 3 4 3 2" xfId="7896"/>
    <cellStyle name="Comma [0] 2 5 3 4 3 3" xfId="7897"/>
    <cellStyle name="Comma [0] 2 5 3 4 4" xfId="7898"/>
    <cellStyle name="Comma [0] 2 5 3 4 5" xfId="7899"/>
    <cellStyle name="Comma [0] 2 5 3 5" xfId="7900"/>
    <cellStyle name="Comma [0] 2 5 3 5 2" xfId="7901"/>
    <cellStyle name="Comma [0] 2 5 3 5 2 2" xfId="7902"/>
    <cellStyle name="Comma [0] 2 5 3 5 2 2 2" xfId="7903"/>
    <cellStyle name="Comma [0] 2 5 3 5 2 2 3" xfId="7904"/>
    <cellStyle name="Comma [0] 2 5 3 5 2 3" xfId="7905"/>
    <cellStyle name="Comma [0] 2 5 3 5 2 4" xfId="7906"/>
    <cellStyle name="Comma [0] 2 5 3 5 3" xfId="7907"/>
    <cellStyle name="Comma [0] 2 5 3 5 3 2" xfId="7908"/>
    <cellStyle name="Comma [0] 2 5 3 5 3 3" xfId="7909"/>
    <cellStyle name="Comma [0] 2 5 3 5 4" xfId="7910"/>
    <cellStyle name="Comma [0] 2 5 3 5 5" xfId="7911"/>
    <cellStyle name="Comma [0] 2 5 3 6" xfId="7912"/>
    <cellStyle name="Comma [0] 2 5 3 6 2" xfId="7913"/>
    <cellStyle name="Comma [0] 2 5 3 6 2 2" xfId="7914"/>
    <cellStyle name="Comma [0] 2 5 3 6 2 3" xfId="7915"/>
    <cellStyle name="Comma [0] 2 5 3 6 3" xfId="7916"/>
    <cellStyle name="Comma [0] 2 5 3 6 4" xfId="7917"/>
    <cellStyle name="Comma [0] 2 5 3 7" xfId="7918"/>
    <cellStyle name="Comma [0] 2 5 3 7 2" xfId="7919"/>
    <cellStyle name="Comma [0] 2 5 3 7 3" xfId="7920"/>
    <cellStyle name="Comma [0] 2 5 3 8" xfId="7921"/>
    <cellStyle name="Comma [0] 2 5 3 9" xfId="7922"/>
    <cellStyle name="Comma [0] 2 5 4" xfId="7923"/>
    <cellStyle name="Comma [0] 2 5 4 10" xfId="7924"/>
    <cellStyle name="Comma [0] 2 5 4 2" xfId="7925"/>
    <cellStyle name="Comma [0] 2 5 4 2 2" xfId="7926"/>
    <cellStyle name="Comma [0] 2 5 4 2 2 2" xfId="7927"/>
    <cellStyle name="Comma [0] 2 5 4 2 2 2 2" xfId="7928"/>
    <cellStyle name="Comma [0] 2 5 4 2 2 2 2 2" xfId="7929"/>
    <cellStyle name="Comma [0] 2 5 4 2 2 2 2 3" xfId="7930"/>
    <cellStyle name="Comma [0] 2 5 4 2 2 2 3" xfId="7931"/>
    <cellStyle name="Comma [0] 2 5 4 2 2 2 4" xfId="7932"/>
    <cellStyle name="Comma [0] 2 5 4 2 2 3" xfId="7933"/>
    <cellStyle name="Comma [0] 2 5 4 2 2 3 2" xfId="7934"/>
    <cellStyle name="Comma [0] 2 5 4 2 2 3 3" xfId="7935"/>
    <cellStyle name="Comma [0] 2 5 4 2 2 4" xfId="7936"/>
    <cellStyle name="Comma [0] 2 5 4 2 2 5" xfId="7937"/>
    <cellStyle name="Comma [0] 2 5 4 2 3" xfId="7938"/>
    <cellStyle name="Comma [0] 2 5 4 2 3 2" xfId="7939"/>
    <cellStyle name="Comma [0] 2 5 4 2 3 2 2" xfId="7940"/>
    <cellStyle name="Comma [0] 2 5 4 2 3 2 2 2" xfId="7941"/>
    <cellStyle name="Comma [0] 2 5 4 2 3 2 2 3" xfId="7942"/>
    <cellStyle name="Comma [0] 2 5 4 2 3 2 3" xfId="7943"/>
    <cellStyle name="Comma [0] 2 5 4 2 3 2 4" xfId="7944"/>
    <cellStyle name="Comma [0] 2 5 4 2 3 3" xfId="7945"/>
    <cellStyle name="Comma [0] 2 5 4 2 3 3 2" xfId="7946"/>
    <cellStyle name="Comma [0] 2 5 4 2 3 3 3" xfId="7947"/>
    <cellStyle name="Comma [0] 2 5 4 2 3 4" xfId="7948"/>
    <cellStyle name="Comma [0] 2 5 4 2 3 5" xfId="7949"/>
    <cellStyle name="Comma [0] 2 5 4 2 4" xfId="7950"/>
    <cellStyle name="Comma [0] 2 5 4 2 4 2" xfId="7951"/>
    <cellStyle name="Comma [0] 2 5 4 2 4 2 2" xfId="7952"/>
    <cellStyle name="Comma [0] 2 5 4 2 4 2 2 2" xfId="7953"/>
    <cellStyle name="Comma [0] 2 5 4 2 4 2 2 3" xfId="7954"/>
    <cellStyle name="Comma [0] 2 5 4 2 4 2 3" xfId="7955"/>
    <cellStyle name="Comma [0] 2 5 4 2 4 2 4" xfId="7956"/>
    <cellStyle name="Comma [0] 2 5 4 2 4 3" xfId="7957"/>
    <cellStyle name="Comma [0] 2 5 4 2 4 3 2" xfId="7958"/>
    <cellStyle name="Comma [0] 2 5 4 2 4 3 3" xfId="7959"/>
    <cellStyle name="Comma [0] 2 5 4 2 4 4" xfId="7960"/>
    <cellStyle name="Comma [0] 2 5 4 2 4 5" xfId="7961"/>
    <cellStyle name="Comma [0] 2 5 4 2 5" xfId="7962"/>
    <cellStyle name="Comma [0] 2 5 4 2 5 2" xfId="7963"/>
    <cellStyle name="Comma [0] 2 5 4 2 5 2 2" xfId="7964"/>
    <cellStyle name="Comma [0] 2 5 4 2 5 2 3" xfId="7965"/>
    <cellStyle name="Comma [0] 2 5 4 2 5 3" xfId="7966"/>
    <cellStyle name="Comma [0] 2 5 4 2 5 4" xfId="7967"/>
    <cellStyle name="Comma [0] 2 5 4 2 6" xfId="7968"/>
    <cellStyle name="Comma [0] 2 5 4 2 6 2" xfId="7969"/>
    <cellStyle name="Comma [0] 2 5 4 2 6 3" xfId="7970"/>
    <cellStyle name="Comma [0] 2 5 4 2 7" xfId="7971"/>
    <cellStyle name="Comma [0] 2 5 4 2 8" xfId="7972"/>
    <cellStyle name="Comma [0] 2 5 4 2 9" xfId="7973"/>
    <cellStyle name="Comma [0] 2 5 4 3" xfId="7974"/>
    <cellStyle name="Comma [0] 2 5 4 3 2" xfId="7975"/>
    <cellStyle name="Comma [0] 2 5 4 3 2 2" xfId="7976"/>
    <cellStyle name="Comma [0] 2 5 4 3 2 2 2" xfId="7977"/>
    <cellStyle name="Comma [0] 2 5 4 3 2 2 3" xfId="7978"/>
    <cellStyle name="Comma [0] 2 5 4 3 2 3" xfId="7979"/>
    <cellStyle name="Comma [0] 2 5 4 3 2 4" xfId="7980"/>
    <cellStyle name="Comma [0] 2 5 4 3 3" xfId="7981"/>
    <cellStyle name="Comma [0] 2 5 4 3 3 2" xfId="7982"/>
    <cellStyle name="Comma [0] 2 5 4 3 3 3" xfId="7983"/>
    <cellStyle name="Comma [0] 2 5 4 3 4" xfId="7984"/>
    <cellStyle name="Comma [0] 2 5 4 3 5" xfId="7985"/>
    <cellStyle name="Comma [0] 2 5 4 4" xfId="7986"/>
    <cellStyle name="Comma [0] 2 5 4 4 2" xfId="7987"/>
    <cellStyle name="Comma [0] 2 5 4 4 2 2" xfId="7988"/>
    <cellStyle name="Comma [0] 2 5 4 4 2 2 2" xfId="7989"/>
    <cellStyle name="Comma [0] 2 5 4 4 2 2 3" xfId="7990"/>
    <cellStyle name="Comma [0] 2 5 4 4 2 3" xfId="7991"/>
    <cellStyle name="Comma [0] 2 5 4 4 2 4" xfId="7992"/>
    <cellStyle name="Comma [0] 2 5 4 4 3" xfId="7993"/>
    <cellStyle name="Comma [0] 2 5 4 4 3 2" xfId="7994"/>
    <cellStyle name="Comma [0] 2 5 4 4 3 3" xfId="7995"/>
    <cellStyle name="Comma [0] 2 5 4 4 4" xfId="7996"/>
    <cellStyle name="Comma [0] 2 5 4 4 5" xfId="7997"/>
    <cellStyle name="Comma [0] 2 5 4 5" xfId="7998"/>
    <cellStyle name="Comma [0] 2 5 4 5 2" xfId="7999"/>
    <cellStyle name="Comma [0] 2 5 4 5 2 2" xfId="8000"/>
    <cellStyle name="Comma [0] 2 5 4 5 2 2 2" xfId="8001"/>
    <cellStyle name="Comma [0] 2 5 4 5 2 2 3" xfId="8002"/>
    <cellStyle name="Comma [0] 2 5 4 5 2 3" xfId="8003"/>
    <cellStyle name="Comma [0] 2 5 4 5 2 4" xfId="8004"/>
    <cellStyle name="Comma [0] 2 5 4 5 3" xfId="8005"/>
    <cellStyle name="Comma [0] 2 5 4 5 3 2" xfId="8006"/>
    <cellStyle name="Comma [0] 2 5 4 5 3 3" xfId="8007"/>
    <cellStyle name="Comma [0] 2 5 4 5 4" xfId="8008"/>
    <cellStyle name="Comma [0] 2 5 4 5 5" xfId="8009"/>
    <cellStyle name="Comma [0] 2 5 4 6" xfId="8010"/>
    <cellStyle name="Comma [0] 2 5 4 6 2" xfId="8011"/>
    <cellStyle name="Comma [0] 2 5 4 6 2 2" xfId="8012"/>
    <cellStyle name="Comma [0] 2 5 4 6 2 3" xfId="8013"/>
    <cellStyle name="Comma [0] 2 5 4 6 3" xfId="8014"/>
    <cellStyle name="Comma [0] 2 5 4 6 4" xfId="8015"/>
    <cellStyle name="Comma [0] 2 5 4 7" xfId="8016"/>
    <cellStyle name="Comma [0] 2 5 4 7 2" xfId="8017"/>
    <cellStyle name="Comma [0] 2 5 4 7 3" xfId="8018"/>
    <cellStyle name="Comma [0] 2 5 4 8" xfId="8019"/>
    <cellStyle name="Comma [0] 2 5 4 9" xfId="8020"/>
    <cellStyle name="Comma [0] 2 5 5" xfId="8021"/>
    <cellStyle name="Comma [0] 2 5 5 2" xfId="8022"/>
    <cellStyle name="Comma [0] 2 5 5 2 2" xfId="8023"/>
    <cellStyle name="Comma [0] 2 5 5 2 2 2" xfId="8024"/>
    <cellStyle name="Comma [0] 2 5 5 2 2 2 2" xfId="8025"/>
    <cellStyle name="Comma [0] 2 5 5 2 2 2 3" xfId="8026"/>
    <cellStyle name="Comma [0] 2 5 5 2 2 3" xfId="8027"/>
    <cellStyle name="Comma [0] 2 5 5 2 2 4" xfId="8028"/>
    <cellStyle name="Comma [0] 2 5 5 2 3" xfId="8029"/>
    <cellStyle name="Comma [0] 2 5 5 2 3 2" xfId="8030"/>
    <cellStyle name="Comma [0] 2 5 5 2 3 3" xfId="8031"/>
    <cellStyle name="Comma [0] 2 5 5 2 4" xfId="8032"/>
    <cellStyle name="Comma [0] 2 5 5 2 5" xfId="8033"/>
    <cellStyle name="Comma [0] 2 5 5 3" xfId="8034"/>
    <cellStyle name="Comma [0] 2 5 5 3 2" xfId="8035"/>
    <cellStyle name="Comma [0] 2 5 5 3 2 2" xfId="8036"/>
    <cellStyle name="Comma [0] 2 5 5 3 2 2 2" xfId="8037"/>
    <cellStyle name="Comma [0] 2 5 5 3 2 2 3" xfId="8038"/>
    <cellStyle name="Comma [0] 2 5 5 3 2 3" xfId="8039"/>
    <cellStyle name="Comma [0] 2 5 5 3 2 4" xfId="8040"/>
    <cellStyle name="Comma [0] 2 5 5 3 3" xfId="8041"/>
    <cellStyle name="Comma [0] 2 5 5 3 3 2" xfId="8042"/>
    <cellStyle name="Comma [0] 2 5 5 3 3 3" xfId="8043"/>
    <cellStyle name="Comma [0] 2 5 5 3 4" xfId="8044"/>
    <cellStyle name="Comma [0] 2 5 5 3 5" xfId="8045"/>
    <cellStyle name="Comma [0] 2 5 5 4" xfId="8046"/>
    <cellStyle name="Comma [0] 2 5 5 4 2" xfId="8047"/>
    <cellStyle name="Comma [0] 2 5 5 4 2 2" xfId="8048"/>
    <cellStyle name="Comma [0] 2 5 5 4 2 2 2" xfId="8049"/>
    <cellStyle name="Comma [0] 2 5 5 4 2 2 3" xfId="8050"/>
    <cellStyle name="Comma [0] 2 5 5 4 2 3" xfId="8051"/>
    <cellStyle name="Comma [0] 2 5 5 4 2 4" xfId="8052"/>
    <cellStyle name="Comma [0] 2 5 5 4 3" xfId="8053"/>
    <cellStyle name="Comma [0] 2 5 5 4 3 2" xfId="8054"/>
    <cellStyle name="Comma [0] 2 5 5 4 3 3" xfId="8055"/>
    <cellStyle name="Comma [0] 2 5 5 4 4" xfId="8056"/>
    <cellStyle name="Comma [0] 2 5 5 4 5" xfId="8057"/>
    <cellStyle name="Comma [0] 2 5 5 5" xfId="8058"/>
    <cellStyle name="Comma [0] 2 5 5 5 2" xfId="8059"/>
    <cellStyle name="Comma [0] 2 5 5 5 2 2" xfId="8060"/>
    <cellStyle name="Comma [0] 2 5 5 5 2 3" xfId="8061"/>
    <cellStyle name="Comma [0] 2 5 5 5 3" xfId="8062"/>
    <cellStyle name="Comma [0] 2 5 5 5 4" xfId="8063"/>
    <cellStyle name="Comma [0] 2 5 5 6" xfId="8064"/>
    <cellStyle name="Comma [0] 2 5 5 6 2" xfId="8065"/>
    <cellStyle name="Comma [0] 2 5 5 6 3" xfId="8066"/>
    <cellStyle name="Comma [0] 2 5 5 7" xfId="8067"/>
    <cellStyle name="Comma [0] 2 5 5 8" xfId="8068"/>
    <cellStyle name="Comma [0] 2 5 5 9" xfId="8069"/>
    <cellStyle name="Comma [0] 2 5 6" xfId="8070"/>
    <cellStyle name="Comma [0] 2 5 6 2" xfId="8071"/>
    <cellStyle name="Comma [0] 2 5 6 2 2" xfId="8072"/>
    <cellStyle name="Comma [0] 2 5 6 2 2 2" xfId="8073"/>
    <cellStyle name="Comma [0] 2 5 6 2 2 2 2" xfId="8074"/>
    <cellStyle name="Comma [0] 2 5 6 2 2 2 3" xfId="8075"/>
    <cellStyle name="Comma [0] 2 5 6 2 2 3" xfId="8076"/>
    <cellStyle name="Comma [0] 2 5 6 2 2 4" xfId="8077"/>
    <cellStyle name="Comma [0] 2 5 6 2 3" xfId="8078"/>
    <cellStyle name="Comma [0] 2 5 6 2 3 2" xfId="8079"/>
    <cellStyle name="Comma [0] 2 5 6 2 3 3" xfId="8080"/>
    <cellStyle name="Comma [0] 2 5 6 2 4" xfId="8081"/>
    <cellStyle name="Comma [0] 2 5 6 2 5" xfId="8082"/>
    <cellStyle name="Comma [0] 2 5 6 3" xfId="8083"/>
    <cellStyle name="Comma [0] 2 5 6 3 2" xfId="8084"/>
    <cellStyle name="Comma [0] 2 5 6 3 2 2" xfId="8085"/>
    <cellStyle name="Comma [0] 2 5 6 3 2 2 2" xfId="8086"/>
    <cellStyle name="Comma [0] 2 5 6 3 2 2 3" xfId="8087"/>
    <cellStyle name="Comma [0] 2 5 6 3 2 3" xfId="8088"/>
    <cellStyle name="Comma [0] 2 5 6 3 2 4" xfId="8089"/>
    <cellStyle name="Comma [0] 2 5 6 3 3" xfId="8090"/>
    <cellStyle name="Comma [0] 2 5 6 3 3 2" xfId="8091"/>
    <cellStyle name="Comma [0] 2 5 6 3 3 3" xfId="8092"/>
    <cellStyle name="Comma [0] 2 5 6 3 4" xfId="8093"/>
    <cellStyle name="Comma [0] 2 5 6 3 5" xfId="8094"/>
    <cellStyle name="Comma [0] 2 5 6 4" xfId="8095"/>
    <cellStyle name="Comma [0] 2 5 6 4 2" xfId="8096"/>
    <cellStyle name="Comma [0] 2 5 6 4 2 2" xfId="8097"/>
    <cellStyle name="Comma [0] 2 5 6 4 2 2 2" xfId="8098"/>
    <cellStyle name="Comma [0] 2 5 6 4 2 2 3" xfId="8099"/>
    <cellStyle name="Comma [0] 2 5 6 4 2 3" xfId="8100"/>
    <cellStyle name="Comma [0] 2 5 6 4 2 4" xfId="8101"/>
    <cellStyle name="Comma [0] 2 5 6 4 3" xfId="8102"/>
    <cellStyle name="Comma [0] 2 5 6 4 3 2" xfId="8103"/>
    <cellStyle name="Comma [0] 2 5 6 4 3 3" xfId="8104"/>
    <cellStyle name="Comma [0] 2 5 6 4 4" xfId="8105"/>
    <cellStyle name="Comma [0] 2 5 6 4 5" xfId="8106"/>
    <cellStyle name="Comma [0] 2 5 6 5" xfId="8107"/>
    <cellStyle name="Comma [0] 2 5 6 5 2" xfId="8108"/>
    <cellStyle name="Comma [0] 2 5 6 5 2 2" xfId="8109"/>
    <cellStyle name="Comma [0] 2 5 6 5 2 3" xfId="8110"/>
    <cellStyle name="Comma [0] 2 5 6 5 3" xfId="8111"/>
    <cellStyle name="Comma [0] 2 5 6 5 4" xfId="8112"/>
    <cellStyle name="Comma [0] 2 5 6 6" xfId="8113"/>
    <cellStyle name="Comma [0] 2 5 6 6 2" xfId="8114"/>
    <cellStyle name="Comma [0] 2 5 6 6 3" xfId="8115"/>
    <cellStyle name="Comma [0] 2 5 6 7" xfId="8116"/>
    <cellStyle name="Comma [0] 2 5 6 8" xfId="8117"/>
    <cellStyle name="Comma [0] 2 5 6 9" xfId="8118"/>
    <cellStyle name="Comma [0] 2 5 7" xfId="8119"/>
    <cellStyle name="Comma [0] 2 5 7 2" xfId="8120"/>
    <cellStyle name="Comma [0] 2 5 7 2 2" xfId="8121"/>
    <cellStyle name="Comma [0] 2 5 7 2 2 2" xfId="8122"/>
    <cellStyle name="Comma [0] 2 5 7 2 2 3" xfId="8123"/>
    <cellStyle name="Comma [0] 2 5 7 2 3" xfId="8124"/>
    <cellStyle name="Comma [0] 2 5 7 2 4" xfId="8125"/>
    <cellStyle name="Comma [0] 2 5 7 3" xfId="8126"/>
    <cellStyle name="Comma [0] 2 5 7 3 2" xfId="8127"/>
    <cellStyle name="Comma [0] 2 5 7 3 3" xfId="8128"/>
    <cellStyle name="Comma [0] 2 5 7 4" xfId="8129"/>
    <cellStyle name="Comma [0] 2 5 7 5" xfId="8130"/>
    <cellStyle name="Comma [0] 2 5 8" xfId="8131"/>
    <cellStyle name="Comma [0] 2 5 8 2" xfId="8132"/>
    <cellStyle name="Comma [0] 2 5 8 2 2" xfId="8133"/>
    <cellStyle name="Comma [0] 2 5 8 2 2 2" xfId="8134"/>
    <cellStyle name="Comma [0] 2 5 8 2 2 3" xfId="8135"/>
    <cellStyle name="Comma [0] 2 5 8 2 3" xfId="8136"/>
    <cellStyle name="Comma [0] 2 5 8 2 4" xfId="8137"/>
    <cellStyle name="Comma [0] 2 5 8 3" xfId="8138"/>
    <cellStyle name="Comma [0] 2 5 8 3 2" xfId="8139"/>
    <cellStyle name="Comma [0] 2 5 8 3 3" xfId="8140"/>
    <cellStyle name="Comma [0] 2 5 8 4" xfId="8141"/>
    <cellStyle name="Comma [0] 2 5 8 5" xfId="8142"/>
    <cellStyle name="Comma [0] 2 5 9" xfId="8143"/>
    <cellStyle name="Comma [0] 2 5 9 2" xfId="8144"/>
    <cellStyle name="Comma [0] 2 5 9 2 2" xfId="8145"/>
    <cellStyle name="Comma [0] 2 5 9 2 2 2" xfId="8146"/>
    <cellStyle name="Comma [0] 2 5 9 2 2 3" xfId="8147"/>
    <cellStyle name="Comma [0] 2 5 9 2 3" xfId="8148"/>
    <cellStyle name="Comma [0] 2 5 9 2 4" xfId="8149"/>
    <cellStyle name="Comma [0] 2 5 9 3" xfId="8150"/>
    <cellStyle name="Comma [0] 2 5 9 3 2" xfId="8151"/>
    <cellStyle name="Comma [0] 2 5 9 3 3" xfId="8152"/>
    <cellStyle name="Comma [0] 2 5 9 4" xfId="8153"/>
    <cellStyle name="Comma [0] 2 5 9 5" xfId="8154"/>
    <cellStyle name="Comma [0] 2 6" xfId="8155"/>
    <cellStyle name="Comma [0] 2 6 10" xfId="8156"/>
    <cellStyle name="Comma [0] 2 6 11" xfId="8157"/>
    <cellStyle name="Comma [0] 2 6 2" xfId="8158"/>
    <cellStyle name="Comma [0] 2 6 2 2" xfId="8159"/>
    <cellStyle name="Comma [0] 2 6 2 2 2" xfId="8160"/>
    <cellStyle name="Comma [0] 2 6 2 2 2 2" xfId="8161"/>
    <cellStyle name="Comma [0] 2 6 2 2 2 2 2" xfId="8162"/>
    <cellStyle name="Comma [0] 2 6 2 2 2 2 3" xfId="8163"/>
    <cellStyle name="Comma [0] 2 6 2 2 2 3" xfId="8164"/>
    <cellStyle name="Comma [0] 2 6 2 2 2 4" xfId="8165"/>
    <cellStyle name="Comma [0] 2 6 2 2 3" xfId="8166"/>
    <cellStyle name="Comma [0] 2 6 2 2 3 2" xfId="8167"/>
    <cellStyle name="Comma [0] 2 6 2 2 3 3" xfId="8168"/>
    <cellStyle name="Comma [0] 2 6 2 2 4" xfId="8169"/>
    <cellStyle name="Comma [0] 2 6 2 2 5" xfId="8170"/>
    <cellStyle name="Comma [0] 2 6 2 3" xfId="8171"/>
    <cellStyle name="Comma [0] 2 6 2 3 2" xfId="8172"/>
    <cellStyle name="Comma [0] 2 6 2 3 2 2" xfId="8173"/>
    <cellStyle name="Comma [0] 2 6 2 3 2 2 2" xfId="8174"/>
    <cellStyle name="Comma [0] 2 6 2 3 2 2 3" xfId="8175"/>
    <cellStyle name="Comma [0] 2 6 2 3 2 3" xfId="8176"/>
    <cellStyle name="Comma [0] 2 6 2 3 2 4" xfId="8177"/>
    <cellStyle name="Comma [0] 2 6 2 3 3" xfId="8178"/>
    <cellStyle name="Comma [0] 2 6 2 3 3 2" xfId="8179"/>
    <cellStyle name="Comma [0] 2 6 2 3 3 3" xfId="8180"/>
    <cellStyle name="Comma [0] 2 6 2 3 4" xfId="8181"/>
    <cellStyle name="Comma [0] 2 6 2 3 5" xfId="8182"/>
    <cellStyle name="Comma [0] 2 6 2 4" xfId="8183"/>
    <cellStyle name="Comma [0] 2 6 2 4 2" xfId="8184"/>
    <cellStyle name="Comma [0] 2 6 2 4 2 2" xfId="8185"/>
    <cellStyle name="Comma [0] 2 6 2 4 2 2 2" xfId="8186"/>
    <cellStyle name="Comma [0] 2 6 2 4 2 2 3" xfId="8187"/>
    <cellStyle name="Comma [0] 2 6 2 4 2 3" xfId="8188"/>
    <cellStyle name="Comma [0] 2 6 2 4 2 4" xfId="8189"/>
    <cellStyle name="Comma [0] 2 6 2 4 3" xfId="8190"/>
    <cellStyle name="Comma [0] 2 6 2 4 3 2" xfId="8191"/>
    <cellStyle name="Comma [0] 2 6 2 4 3 3" xfId="8192"/>
    <cellStyle name="Comma [0] 2 6 2 4 4" xfId="8193"/>
    <cellStyle name="Comma [0] 2 6 2 4 5" xfId="8194"/>
    <cellStyle name="Comma [0] 2 6 2 5" xfId="8195"/>
    <cellStyle name="Comma [0] 2 6 2 5 2" xfId="8196"/>
    <cellStyle name="Comma [0] 2 6 2 5 2 2" xfId="8197"/>
    <cellStyle name="Comma [0] 2 6 2 5 2 3" xfId="8198"/>
    <cellStyle name="Comma [0] 2 6 2 5 3" xfId="8199"/>
    <cellStyle name="Comma [0] 2 6 2 5 4" xfId="8200"/>
    <cellStyle name="Comma [0] 2 6 2 6" xfId="8201"/>
    <cellStyle name="Comma [0] 2 6 2 6 2" xfId="8202"/>
    <cellStyle name="Comma [0] 2 6 2 6 3" xfId="8203"/>
    <cellStyle name="Comma [0] 2 6 2 7" xfId="8204"/>
    <cellStyle name="Comma [0] 2 6 2 8" xfId="8205"/>
    <cellStyle name="Comma [0] 2 6 2 9" xfId="8206"/>
    <cellStyle name="Comma [0] 2 6 3" xfId="8207"/>
    <cellStyle name="Comma [0] 2 6 3 2" xfId="8208"/>
    <cellStyle name="Comma [0] 2 6 3 2 2" xfId="8209"/>
    <cellStyle name="Comma [0] 2 6 3 2 2 2" xfId="8210"/>
    <cellStyle name="Comma [0] 2 6 3 2 2 2 2" xfId="8211"/>
    <cellStyle name="Comma [0] 2 6 3 2 2 2 3" xfId="8212"/>
    <cellStyle name="Comma [0] 2 6 3 2 2 3" xfId="8213"/>
    <cellStyle name="Comma [0] 2 6 3 2 2 4" xfId="8214"/>
    <cellStyle name="Comma [0] 2 6 3 2 3" xfId="8215"/>
    <cellStyle name="Comma [0] 2 6 3 2 3 2" xfId="8216"/>
    <cellStyle name="Comma [0] 2 6 3 2 3 3" xfId="8217"/>
    <cellStyle name="Comma [0] 2 6 3 2 4" xfId="8218"/>
    <cellStyle name="Comma [0] 2 6 3 2 5" xfId="8219"/>
    <cellStyle name="Comma [0] 2 6 3 3" xfId="8220"/>
    <cellStyle name="Comma [0] 2 6 3 3 2" xfId="8221"/>
    <cellStyle name="Comma [0] 2 6 3 3 2 2" xfId="8222"/>
    <cellStyle name="Comma [0] 2 6 3 3 2 2 2" xfId="8223"/>
    <cellStyle name="Comma [0] 2 6 3 3 2 2 3" xfId="8224"/>
    <cellStyle name="Comma [0] 2 6 3 3 2 3" xfId="8225"/>
    <cellStyle name="Comma [0] 2 6 3 3 2 4" xfId="8226"/>
    <cellStyle name="Comma [0] 2 6 3 3 3" xfId="8227"/>
    <cellStyle name="Comma [0] 2 6 3 3 3 2" xfId="8228"/>
    <cellStyle name="Comma [0] 2 6 3 3 3 3" xfId="8229"/>
    <cellStyle name="Comma [0] 2 6 3 3 4" xfId="8230"/>
    <cellStyle name="Comma [0] 2 6 3 3 5" xfId="8231"/>
    <cellStyle name="Comma [0] 2 6 3 4" xfId="8232"/>
    <cellStyle name="Comma [0] 2 6 3 4 2" xfId="8233"/>
    <cellStyle name="Comma [0] 2 6 3 4 2 2" xfId="8234"/>
    <cellStyle name="Comma [0] 2 6 3 4 2 2 2" xfId="8235"/>
    <cellStyle name="Comma [0] 2 6 3 4 2 2 3" xfId="8236"/>
    <cellStyle name="Comma [0] 2 6 3 4 2 3" xfId="8237"/>
    <cellStyle name="Comma [0] 2 6 3 4 2 4" xfId="8238"/>
    <cellStyle name="Comma [0] 2 6 3 4 3" xfId="8239"/>
    <cellStyle name="Comma [0] 2 6 3 4 3 2" xfId="8240"/>
    <cellStyle name="Comma [0] 2 6 3 4 3 3" xfId="8241"/>
    <cellStyle name="Comma [0] 2 6 3 4 4" xfId="8242"/>
    <cellStyle name="Comma [0] 2 6 3 4 5" xfId="8243"/>
    <cellStyle name="Comma [0] 2 6 3 5" xfId="8244"/>
    <cellStyle name="Comma [0] 2 6 3 5 2" xfId="8245"/>
    <cellStyle name="Comma [0] 2 6 3 5 2 2" xfId="8246"/>
    <cellStyle name="Comma [0] 2 6 3 5 2 3" xfId="8247"/>
    <cellStyle name="Comma [0] 2 6 3 5 3" xfId="8248"/>
    <cellStyle name="Comma [0] 2 6 3 5 4" xfId="8249"/>
    <cellStyle name="Comma [0] 2 6 3 6" xfId="8250"/>
    <cellStyle name="Comma [0] 2 6 3 6 2" xfId="8251"/>
    <cellStyle name="Comma [0] 2 6 3 6 3" xfId="8252"/>
    <cellStyle name="Comma [0] 2 6 3 7" xfId="8253"/>
    <cellStyle name="Comma [0] 2 6 3 8" xfId="8254"/>
    <cellStyle name="Comma [0] 2 6 3 9" xfId="8255"/>
    <cellStyle name="Comma [0] 2 6 4" xfId="8256"/>
    <cellStyle name="Comma [0] 2 6 4 2" xfId="8257"/>
    <cellStyle name="Comma [0] 2 6 4 2 2" xfId="8258"/>
    <cellStyle name="Comma [0] 2 6 4 2 2 2" xfId="8259"/>
    <cellStyle name="Comma [0] 2 6 4 2 2 3" xfId="8260"/>
    <cellStyle name="Comma [0] 2 6 4 2 3" xfId="8261"/>
    <cellStyle name="Comma [0] 2 6 4 2 4" xfId="8262"/>
    <cellStyle name="Comma [0] 2 6 4 3" xfId="8263"/>
    <cellStyle name="Comma [0] 2 6 4 3 2" xfId="8264"/>
    <cellStyle name="Comma [0] 2 6 4 3 3" xfId="8265"/>
    <cellStyle name="Comma [0] 2 6 4 4" xfId="8266"/>
    <cellStyle name="Comma [0] 2 6 4 5" xfId="8267"/>
    <cellStyle name="Comma [0] 2 6 5" xfId="8268"/>
    <cellStyle name="Comma [0] 2 6 5 2" xfId="8269"/>
    <cellStyle name="Comma [0] 2 6 5 2 2" xfId="8270"/>
    <cellStyle name="Comma [0] 2 6 5 2 2 2" xfId="8271"/>
    <cellStyle name="Comma [0] 2 6 5 2 2 3" xfId="8272"/>
    <cellStyle name="Comma [0] 2 6 5 2 3" xfId="8273"/>
    <cellStyle name="Comma [0] 2 6 5 2 4" xfId="8274"/>
    <cellStyle name="Comma [0] 2 6 5 3" xfId="8275"/>
    <cellStyle name="Comma [0] 2 6 5 3 2" xfId="8276"/>
    <cellStyle name="Comma [0] 2 6 5 3 3" xfId="8277"/>
    <cellStyle name="Comma [0] 2 6 5 4" xfId="8278"/>
    <cellStyle name="Comma [0] 2 6 5 5" xfId="8279"/>
    <cellStyle name="Comma [0] 2 6 6" xfId="8280"/>
    <cellStyle name="Comma [0] 2 6 6 2" xfId="8281"/>
    <cellStyle name="Comma [0] 2 6 6 2 2" xfId="8282"/>
    <cellStyle name="Comma [0] 2 6 6 2 2 2" xfId="8283"/>
    <cellStyle name="Comma [0] 2 6 6 2 2 3" xfId="8284"/>
    <cellStyle name="Comma [0] 2 6 6 2 3" xfId="8285"/>
    <cellStyle name="Comma [0] 2 6 6 2 4" xfId="8286"/>
    <cellStyle name="Comma [0] 2 6 6 3" xfId="8287"/>
    <cellStyle name="Comma [0] 2 6 6 3 2" xfId="8288"/>
    <cellStyle name="Comma [0] 2 6 6 3 3" xfId="8289"/>
    <cellStyle name="Comma [0] 2 6 6 4" xfId="8290"/>
    <cellStyle name="Comma [0] 2 6 6 5" xfId="8291"/>
    <cellStyle name="Comma [0] 2 6 7" xfId="8292"/>
    <cellStyle name="Comma [0] 2 6 7 2" xfId="8293"/>
    <cellStyle name="Comma [0] 2 6 7 2 2" xfId="8294"/>
    <cellStyle name="Comma [0] 2 6 7 2 3" xfId="8295"/>
    <cellStyle name="Comma [0] 2 6 7 3" xfId="8296"/>
    <cellStyle name="Comma [0] 2 6 7 4" xfId="8297"/>
    <cellStyle name="Comma [0] 2 6 8" xfId="8298"/>
    <cellStyle name="Comma [0] 2 6 8 2" xfId="8299"/>
    <cellStyle name="Comma [0] 2 6 8 3" xfId="8300"/>
    <cellStyle name="Comma [0] 2 6 9" xfId="8301"/>
    <cellStyle name="Comma [0] 2 7" xfId="8302"/>
    <cellStyle name="Comma [0] 2 7 10" xfId="8303"/>
    <cellStyle name="Comma [0] 2 7 11" xfId="8304"/>
    <cellStyle name="Comma [0] 2 7 2" xfId="8305"/>
    <cellStyle name="Comma [0] 2 7 2 2" xfId="8306"/>
    <cellStyle name="Comma [0] 2 7 2 2 2" xfId="8307"/>
    <cellStyle name="Comma [0] 2 7 2 2 2 2" xfId="8308"/>
    <cellStyle name="Comma [0] 2 7 2 2 2 2 2" xfId="8309"/>
    <cellStyle name="Comma [0] 2 7 2 2 2 2 3" xfId="8310"/>
    <cellStyle name="Comma [0] 2 7 2 2 2 3" xfId="8311"/>
    <cellStyle name="Comma [0] 2 7 2 2 2 4" xfId="8312"/>
    <cellStyle name="Comma [0] 2 7 2 2 3" xfId="8313"/>
    <cellStyle name="Comma [0] 2 7 2 2 3 2" xfId="8314"/>
    <cellStyle name="Comma [0] 2 7 2 2 3 3" xfId="8315"/>
    <cellStyle name="Comma [0] 2 7 2 2 4" xfId="8316"/>
    <cellStyle name="Comma [0] 2 7 2 2 5" xfId="8317"/>
    <cellStyle name="Comma [0] 2 7 2 3" xfId="8318"/>
    <cellStyle name="Comma [0] 2 7 2 3 2" xfId="8319"/>
    <cellStyle name="Comma [0] 2 7 2 3 2 2" xfId="8320"/>
    <cellStyle name="Comma [0] 2 7 2 3 2 2 2" xfId="8321"/>
    <cellStyle name="Comma [0] 2 7 2 3 2 2 3" xfId="8322"/>
    <cellStyle name="Comma [0] 2 7 2 3 2 3" xfId="8323"/>
    <cellStyle name="Comma [0] 2 7 2 3 2 4" xfId="8324"/>
    <cellStyle name="Comma [0] 2 7 2 3 3" xfId="8325"/>
    <cellStyle name="Comma [0] 2 7 2 3 3 2" xfId="8326"/>
    <cellStyle name="Comma [0] 2 7 2 3 3 3" xfId="8327"/>
    <cellStyle name="Comma [0] 2 7 2 3 4" xfId="8328"/>
    <cellStyle name="Comma [0] 2 7 2 3 5" xfId="8329"/>
    <cellStyle name="Comma [0] 2 7 2 4" xfId="8330"/>
    <cellStyle name="Comma [0] 2 7 2 4 2" xfId="8331"/>
    <cellStyle name="Comma [0] 2 7 2 4 2 2" xfId="8332"/>
    <cellStyle name="Comma [0] 2 7 2 4 2 2 2" xfId="8333"/>
    <cellStyle name="Comma [0] 2 7 2 4 2 2 3" xfId="8334"/>
    <cellStyle name="Comma [0] 2 7 2 4 2 3" xfId="8335"/>
    <cellStyle name="Comma [0] 2 7 2 4 2 4" xfId="8336"/>
    <cellStyle name="Comma [0] 2 7 2 4 3" xfId="8337"/>
    <cellStyle name="Comma [0] 2 7 2 4 3 2" xfId="8338"/>
    <cellStyle name="Comma [0] 2 7 2 4 3 3" xfId="8339"/>
    <cellStyle name="Comma [0] 2 7 2 4 4" xfId="8340"/>
    <cellStyle name="Comma [0] 2 7 2 4 5" xfId="8341"/>
    <cellStyle name="Comma [0] 2 7 2 5" xfId="8342"/>
    <cellStyle name="Comma [0] 2 7 2 5 2" xfId="8343"/>
    <cellStyle name="Comma [0] 2 7 2 5 2 2" xfId="8344"/>
    <cellStyle name="Comma [0] 2 7 2 5 2 3" xfId="8345"/>
    <cellStyle name="Comma [0] 2 7 2 5 3" xfId="8346"/>
    <cellStyle name="Comma [0] 2 7 2 5 4" xfId="8347"/>
    <cellStyle name="Comma [0] 2 7 2 6" xfId="8348"/>
    <cellStyle name="Comma [0] 2 7 2 6 2" xfId="8349"/>
    <cellStyle name="Comma [0] 2 7 2 6 3" xfId="8350"/>
    <cellStyle name="Comma [0] 2 7 2 7" xfId="8351"/>
    <cellStyle name="Comma [0] 2 7 2 8" xfId="8352"/>
    <cellStyle name="Comma [0] 2 7 2 9" xfId="8353"/>
    <cellStyle name="Comma [0] 2 7 3" xfId="8354"/>
    <cellStyle name="Comma [0] 2 7 3 2" xfId="8355"/>
    <cellStyle name="Comma [0] 2 7 3 2 2" xfId="8356"/>
    <cellStyle name="Comma [0] 2 7 3 2 2 2" xfId="8357"/>
    <cellStyle name="Comma [0] 2 7 3 2 2 2 2" xfId="8358"/>
    <cellStyle name="Comma [0] 2 7 3 2 2 2 3" xfId="8359"/>
    <cellStyle name="Comma [0] 2 7 3 2 2 3" xfId="8360"/>
    <cellStyle name="Comma [0] 2 7 3 2 2 4" xfId="8361"/>
    <cellStyle name="Comma [0] 2 7 3 2 3" xfId="8362"/>
    <cellStyle name="Comma [0] 2 7 3 2 3 2" xfId="8363"/>
    <cellStyle name="Comma [0] 2 7 3 2 3 3" xfId="8364"/>
    <cellStyle name="Comma [0] 2 7 3 2 4" xfId="8365"/>
    <cellStyle name="Comma [0] 2 7 3 2 5" xfId="8366"/>
    <cellStyle name="Comma [0] 2 7 3 3" xfId="8367"/>
    <cellStyle name="Comma [0] 2 7 3 3 2" xfId="8368"/>
    <cellStyle name="Comma [0] 2 7 3 3 2 2" xfId="8369"/>
    <cellStyle name="Comma [0] 2 7 3 3 2 2 2" xfId="8370"/>
    <cellStyle name="Comma [0] 2 7 3 3 2 2 3" xfId="8371"/>
    <cellStyle name="Comma [0] 2 7 3 3 2 3" xfId="8372"/>
    <cellStyle name="Comma [0] 2 7 3 3 2 4" xfId="8373"/>
    <cellStyle name="Comma [0] 2 7 3 3 3" xfId="8374"/>
    <cellStyle name="Comma [0] 2 7 3 3 3 2" xfId="8375"/>
    <cellStyle name="Comma [0] 2 7 3 3 3 3" xfId="8376"/>
    <cellStyle name="Comma [0] 2 7 3 3 4" xfId="8377"/>
    <cellStyle name="Comma [0] 2 7 3 3 5" xfId="8378"/>
    <cellStyle name="Comma [0] 2 7 3 4" xfId="8379"/>
    <cellStyle name="Comma [0] 2 7 3 4 2" xfId="8380"/>
    <cellStyle name="Comma [0] 2 7 3 4 2 2" xfId="8381"/>
    <cellStyle name="Comma [0] 2 7 3 4 2 2 2" xfId="8382"/>
    <cellStyle name="Comma [0] 2 7 3 4 2 2 3" xfId="8383"/>
    <cellStyle name="Comma [0] 2 7 3 4 2 3" xfId="8384"/>
    <cellStyle name="Comma [0] 2 7 3 4 2 4" xfId="8385"/>
    <cellStyle name="Comma [0] 2 7 3 4 3" xfId="8386"/>
    <cellStyle name="Comma [0] 2 7 3 4 3 2" xfId="8387"/>
    <cellStyle name="Comma [0] 2 7 3 4 3 3" xfId="8388"/>
    <cellStyle name="Comma [0] 2 7 3 4 4" xfId="8389"/>
    <cellStyle name="Comma [0] 2 7 3 4 5" xfId="8390"/>
    <cellStyle name="Comma [0] 2 7 3 5" xfId="8391"/>
    <cellStyle name="Comma [0] 2 7 3 5 2" xfId="8392"/>
    <cellStyle name="Comma [0] 2 7 3 5 2 2" xfId="8393"/>
    <cellStyle name="Comma [0] 2 7 3 5 2 3" xfId="8394"/>
    <cellStyle name="Comma [0] 2 7 3 5 3" xfId="8395"/>
    <cellStyle name="Comma [0] 2 7 3 5 4" xfId="8396"/>
    <cellStyle name="Comma [0] 2 7 3 6" xfId="8397"/>
    <cellStyle name="Comma [0] 2 7 3 6 2" xfId="8398"/>
    <cellStyle name="Comma [0] 2 7 3 6 3" xfId="8399"/>
    <cellStyle name="Comma [0] 2 7 3 7" xfId="8400"/>
    <cellStyle name="Comma [0] 2 7 3 8" xfId="8401"/>
    <cellStyle name="Comma [0] 2 7 3 9" xfId="8402"/>
    <cellStyle name="Comma [0] 2 7 4" xfId="8403"/>
    <cellStyle name="Comma [0] 2 7 4 2" xfId="8404"/>
    <cellStyle name="Comma [0] 2 7 4 2 2" xfId="8405"/>
    <cellStyle name="Comma [0] 2 7 4 2 2 2" xfId="8406"/>
    <cellStyle name="Comma [0] 2 7 4 2 2 3" xfId="8407"/>
    <cellStyle name="Comma [0] 2 7 4 2 3" xfId="8408"/>
    <cellStyle name="Comma [0] 2 7 4 2 4" xfId="8409"/>
    <cellStyle name="Comma [0] 2 7 4 3" xfId="8410"/>
    <cellStyle name="Comma [0] 2 7 4 3 2" xfId="8411"/>
    <cellStyle name="Comma [0] 2 7 4 3 3" xfId="8412"/>
    <cellStyle name="Comma [0] 2 7 4 4" xfId="8413"/>
    <cellStyle name="Comma [0] 2 7 4 5" xfId="8414"/>
    <cellStyle name="Comma [0] 2 7 5" xfId="8415"/>
    <cellStyle name="Comma [0] 2 7 5 2" xfId="8416"/>
    <cellStyle name="Comma [0] 2 7 5 2 2" xfId="8417"/>
    <cellStyle name="Comma [0] 2 7 5 2 2 2" xfId="8418"/>
    <cellStyle name="Comma [0] 2 7 5 2 2 3" xfId="8419"/>
    <cellStyle name="Comma [0] 2 7 5 2 3" xfId="8420"/>
    <cellStyle name="Comma [0] 2 7 5 2 4" xfId="8421"/>
    <cellStyle name="Comma [0] 2 7 5 3" xfId="8422"/>
    <cellStyle name="Comma [0] 2 7 5 3 2" xfId="8423"/>
    <cellStyle name="Comma [0] 2 7 5 3 3" xfId="8424"/>
    <cellStyle name="Comma [0] 2 7 5 4" xfId="8425"/>
    <cellStyle name="Comma [0] 2 7 5 5" xfId="8426"/>
    <cellStyle name="Comma [0] 2 7 6" xfId="8427"/>
    <cellStyle name="Comma [0] 2 7 6 2" xfId="8428"/>
    <cellStyle name="Comma [0] 2 7 6 2 2" xfId="8429"/>
    <cellStyle name="Comma [0] 2 7 6 2 2 2" xfId="8430"/>
    <cellStyle name="Comma [0] 2 7 6 2 2 3" xfId="8431"/>
    <cellStyle name="Comma [0] 2 7 6 2 3" xfId="8432"/>
    <cellStyle name="Comma [0] 2 7 6 2 4" xfId="8433"/>
    <cellStyle name="Comma [0] 2 7 6 3" xfId="8434"/>
    <cellStyle name="Comma [0] 2 7 6 3 2" xfId="8435"/>
    <cellStyle name="Comma [0] 2 7 6 3 3" xfId="8436"/>
    <cellStyle name="Comma [0] 2 7 6 4" xfId="8437"/>
    <cellStyle name="Comma [0] 2 7 6 5" xfId="8438"/>
    <cellStyle name="Comma [0] 2 7 7" xfId="8439"/>
    <cellStyle name="Comma [0] 2 7 7 2" xfId="8440"/>
    <cellStyle name="Comma [0] 2 7 7 2 2" xfId="8441"/>
    <cellStyle name="Comma [0] 2 7 7 2 3" xfId="8442"/>
    <cellStyle name="Comma [0] 2 7 7 3" xfId="8443"/>
    <cellStyle name="Comma [0] 2 7 7 4" xfId="8444"/>
    <cellStyle name="Comma [0] 2 7 8" xfId="8445"/>
    <cellStyle name="Comma [0] 2 7 8 2" xfId="8446"/>
    <cellStyle name="Comma [0] 2 7 8 3" xfId="8447"/>
    <cellStyle name="Comma [0] 2 7 9" xfId="8448"/>
    <cellStyle name="Comma [0] 2 8" xfId="8449"/>
    <cellStyle name="Comma [0] 2 8 2" xfId="8450"/>
    <cellStyle name="Comma [0] 2 9" xfId="8451"/>
    <cellStyle name="Comma [0] 3" xfId="8452"/>
    <cellStyle name="Comma [0] 3 2" xfId="8453"/>
    <cellStyle name="Comma [0] 3 2 2" xfId="8454"/>
    <cellStyle name="Comma [0] 3 3" xfId="8455"/>
    <cellStyle name="Comma [0] 3 4" xfId="8456"/>
    <cellStyle name="Comma [0] 3 5" xfId="8457"/>
    <cellStyle name="Comma [0] 4" xfId="8458"/>
    <cellStyle name="Comma [0] 4 2" xfId="8459"/>
    <cellStyle name="Comma [0] 4 2 2" xfId="8460"/>
    <cellStyle name="Comma [0] 4 3" xfId="8461"/>
    <cellStyle name="Comma [0] 4 3 2" xfId="8462"/>
    <cellStyle name="Comma [0] 4 4" xfId="8463"/>
    <cellStyle name="Comma [0] 4 4 2" xfId="8464"/>
    <cellStyle name="Comma [0] 4 5" xfId="8465"/>
    <cellStyle name="Comma [0] 4 5 2" xfId="8466"/>
    <cellStyle name="Comma [0] 4 6" xfId="8467"/>
    <cellStyle name="Comma [0] 4 7" xfId="8468"/>
    <cellStyle name="Comma [0] 5" xfId="8469"/>
    <cellStyle name="Comma [0] 5 2" xfId="8470"/>
    <cellStyle name="Comma [0] 5 2 2" xfId="8471"/>
    <cellStyle name="Comma [0] 5 3" xfId="8472"/>
    <cellStyle name="Comma [0] 5 3 2" xfId="8473"/>
    <cellStyle name="Comma [0] 5 4" xfId="8474"/>
    <cellStyle name="Comma [0] 5 4 2" xfId="8475"/>
    <cellStyle name="Comma [0] 5 5" xfId="8476"/>
    <cellStyle name="Comma [0] 5 6" xfId="8477"/>
    <cellStyle name="Comma [0] 6" xfId="8478"/>
    <cellStyle name="Comma [0] 6 2" xfId="8479"/>
    <cellStyle name="Comma [0] 7" xfId="8480"/>
    <cellStyle name="Comma [0] 7 2" xfId="8481"/>
    <cellStyle name="Comma [0] 7 2 2" xfId="8482"/>
    <cellStyle name="Comma [0] 7 3" xfId="8483"/>
    <cellStyle name="Comma [0] 8" xfId="8484"/>
    <cellStyle name="Comma [0] 8 2" xfId="8485"/>
    <cellStyle name="Comma [0] 8 3" xfId="8486"/>
    <cellStyle name="Comma [0] 9" xfId="8487"/>
    <cellStyle name="Comma 10" xfId="8488"/>
    <cellStyle name="Comma 10 2" xfId="8489"/>
    <cellStyle name="Comma 10 2 2" xfId="8490"/>
    <cellStyle name="Comma 10 2 2 2" xfId="8491"/>
    <cellStyle name="Comma 10 2 2 3" xfId="8492"/>
    <cellStyle name="Comma 10 2 3" xfId="8493"/>
    <cellStyle name="Comma 10 2 3 2" xfId="8494"/>
    <cellStyle name="Comma 10 2 4" xfId="8495"/>
    <cellStyle name="Comma 10 3" xfId="8496"/>
    <cellStyle name="Comma 10 3 2" xfId="8497"/>
    <cellStyle name="Comma 10 3 3" xfId="8498"/>
    <cellStyle name="Comma 10 4" xfId="8499"/>
    <cellStyle name="Comma 10 4 2" xfId="8500"/>
    <cellStyle name="Comma 10 4 3" xfId="8501"/>
    <cellStyle name="Comma 10 5" xfId="8502"/>
    <cellStyle name="Comma 10 5 2" xfId="8503"/>
    <cellStyle name="Comma 10 6" xfId="8504"/>
    <cellStyle name="Comma 10 7" xfId="8505"/>
    <cellStyle name="Comma 100" xfId="8506"/>
    <cellStyle name="Comma 100 2" xfId="8507"/>
    <cellStyle name="Comma 100 2 2" xfId="8508"/>
    <cellStyle name="Comma 100 3" xfId="8509"/>
    <cellStyle name="Comma 100 4" xfId="8510"/>
    <cellStyle name="Comma 101" xfId="8511"/>
    <cellStyle name="Comma 101 2" xfId="8512"/>
    <cellStyle name="Comma 101 2 2" xfId="8513"/>
    <cellStyle name="Comma 101 3" xfId="8514"/>
    <cellStyle name="Comma 102" xfId="8515"/>
    <cellStyle name="Comma 102 2" xfId="8516"/>
    <cellStyle name="Comma 102 2 2" xfId="8517"/>
    <cellStyle name="Comma 102 3" xfId="8518"/>
    <cellStyle name="Comma 102 4" xfId="8519"/>
    <cellStyle name="Comma 103" xfId="8520"/>
    <cellStyle name="Comma 103 2" xfId="8521"/>
    <cellStyle name="Comma 103 2 2" xfId="8522"/>
    <cellStyle name="Comma 103 3" xfId="8523"/>
    <cellStyle name="Comma 103 4" xfId="8524"/>
    <cellStyle name="Comma 104" xfId="8525"/>
    <cellStyle name="Comma 104 2" xfId="8526"/>
    <cellStyle name="Comma 104 3" xfId="8527"/>
    <cellStyle name="Comma 105" xfId="8528"/>
    <cellStyle name="Comma 105 2" xfId="8529"/>
    <cellStyle name="Comma 105 3" xfId="8530"/>
    <cellStyle name="Comma 106" xfId="8531"/>
    <cellStyle name="Comma 106 2" xfId="8532"/>
    <cellStyle name="Comma 106 3" xfId="8533"/>
    <cellStyle name="Comma 107" xfId="8534"/>
    <cellStyle name="Comma 107 2" xfId="8535"/>
    <cellStyle name="Comma 107 3" xfId="8536"/>
    <cellStyle name="Comma 108" xfId="8537"/>
    <cellStyle name="Comma 108 2" xfId="8538"/>
    <cellStyle name="Comma 108 2 2" xfId="8539"/>
    <cellStyle name="Comma 108 3" xfId="8540"/>
    <cellStyle name="Comma 109" xfId="8541"/>
    <cellStyle name="Comma 109 2" xfId="8542"/>
    <cellStyle name="Comma 109 2 2" xfId="8543"/>
    <cellStyle name="Comma 109 3" xfId="8544"/>
    <cellStyle name="Comma 11" xfId="8545"/>
    <cellStyle name="Comma 11 2" xfId="8546"/>
    <cellStyle name="Comma 11 2 2" xfId="8547"/>
    <cellStyle name="Comma 11 2 2 2" xfId="8548"/>
    <cellStyle name="Comma 11 2 2 3" xfId="8549"/>
    <cellStyle name="Comma 11 2 3" xfId="8550"/>
    <cellStyle name="Comma 11 3" xfId="8551"/>
    <cellStyle name="Comma 11 3 2" xfId="8552"/>
    <cellStyle name="Comma 11 3 3" xfId="8553"/>
    <cellStyle name="Comma 11 4" xfId="8554"/>
    <cellStyle name="Comma 11 4 2" xfId="8555"/>
    <cellStyle name="Comma 11 4 3" xfId="8556"/>
    <cellStyle name="Comma 11 5" xfId="8557"/>
    <cellStyle name="Comma 11 5 2" xfId="8558"/>
    <cellStyle name="Comma 11 6" xfId="8559"/>
    <cellStyle name="Comma 110" xfId="8560"/>
    <cellStyle name="Comma 110 2" xfId="8561"/>
    <cellStyle name="Comma 110 2 2" xfId="8562"/>
    <cellStyle name="Comma 110 3" xfId="8563"/>
    <cellStyle name="Comma 111" xfId="8564"/>
    <cellStyle name="Comma 111 2" xfId="8565"/>
    <cellStyle name="Comma 111 2 2" xfId="8566"/>
    <cellStyle name="Comma 111 3" xfId="8567"/>
    <cellStyle name="Comma 112" xfId="8568"/>
    <cellStyle name="Comma 112 2" xfId="8569"/>
    <cellStyle name="Comma 112 2 2" xfId="8570"/>
    <cellStyle name="Comma 112 3" xfId="8571"/>
    <cellStyle name="Comma 113" xfId="8572"/>
    <cellStyle name="Comma 113 2" xfId="8573"/>
    <cellStyle name="Comma 113 2 2" xfId="8574"/>
    <cellStyle name="Comma 113 3" xfId="8575"/>
    <cellStyle name="Comma 114" xfId="8576"/>
    <cellStyle name="Comma 114 2" xfId="8577"/>
    <cellStyle name="Comma 114 2 2" xfId="8578"/>
    <cellStyle name="Comma 114 3" xfId="8579"/>
    <cellStyle name="Comma 115" xfId="8580"/>
    <cellStyle name="Comma 115 2" xfId="8581"/>
    <cellStyle name="Comma 115 2 2" xfId="8582"/>
    <cellStyle name="Comma 115 3" xfId="8583"/>
    <cellStyle name="Comma 116" xfId="8584"/>
    <cellStyle name="Comma 116 2" xfId="8585"/>
    <cellStyle name="Comma 116 2 2" xfId="8586"/>
    <cellStyle name="Comma 116 3" xfId="8587"/>
    <cellStyle name="Comma 117" xfId="8588"/>
    <cellStyle name="Comma 117 2" xfId="8589"/>
    <cellStyle name="Comma 117 2 2" xfId="8590"/>
    <cellStyle name="Comma 117 3" xfId="8591"/>
    <cellStyle name="Comma 118" xfId="8592"/>
    <cellStyle name="Comma 118 2" xfId="8593"/>
    <cellStyle name="Comma 118 2 2" xfId="8594"/>
    <cellStyle name="Comma 118 3" xfId="8595"/>
    <cellStyle name="Comma 119" xfId="8596"/>
    <cellStyle name="Comma 119 2" xfId="8597"/>
    <cellStyle name="Comma 119 2 2" xfId="8598"/>
    <cellStyle name="Comma 119 3" xfId="8599"/>
    <cellStyle name="Comma 12" xfId="8600"/>
    <cellStyle name="Comma 12 10" xfId="8601"/>
    <cellStyle name="Comma 12 10 2" xfId="8602"/>
    <cellStyle name="Comma 12 11" xfId="8603"/>
    <cellStyle name="Comma 12 12" xfId="8604"/>
    <cellStyle name="Comma 12 13" xfId="8605"/>
    <cellStyle name="Comma 12 2" xfId="8606"/>
    <cellStyle name="Comma 12 2 2" xfId="8607"/>
    <cellStyle name="Comma 12 2 2 2" xfId="8608"/>
    <cellStyle name="Comma 12 2 2 3" xfId="8609"/>
    <cellStyle name="Comma 12 2 3" xfId="8610"/>
    <cellStyle name="Comma 12 2 4" xfId="8611"/>
    <cellStyle name="Comma 12 3" xfId="8612"/>
    <cellStyle name="Comma 12 3 2" xfId="8613"/>
    <cellStyle name="Comma 12 3 2 2" xfId="8614"/>
    <cellStyle name="Comma 12 3 2 2 2" xfId="8615"/>
    <cellStyle name="Comma 12 3 2 2 2 2" xfId="8616"/>
    <cellStyle name="Comma 12 3 2 2 2 2 2" xfId="8617"/>
    <cellStyle name="Comma 12 3 2 2 2 2 3" xfId="8618"/>
    <cellStyle name="Comma 12 3 2 2 2 3" xfId="8619"/>
    <cellStyle name="Comma 12 3 2 2 2 4" xfId="8620"/>
    <cellStyle name="Comma 12 3 2 2 3" xfId="8621"/>
    <cellStyle name="Comma 12 3 2 2 3 2" xfId="8622"/>
    <cellStyle name="Comma 12 3 2 2 3 3" xfId="8623"/>
    <cellStyle name="Comma 12 3 2 2 4" xfId="8624"/>
    <cellStyle name="Comma 12 3 2 2 5" xfId="8625"/>
    <cellStyle name="Comma 12 3 2 3" xfId="8626"/>
    <cellStyle name="Comma 12 3 2 3 2" xfId="8627"/>
    <cellStyle name="Comma 12 3 2 3 2 2" xfId="8628"/>
    <cellStyle name="Comma 12 3 2 3 2 2 2" xfId="8629"/>
    <cellStyle name="Comma 12 3 2 3 2 2 3" xfId="8630"/>
    <cellStyle name="Comma 12 3 2 3 2 3" xfId="8631"/>
    <cellStyle name="Comma 12 3 2 3 2 4" xfId="8632"/>
    <cellStyle name="Comma 12 3 2 3 3" xfId="8633"/>
    <cellStyle name="Comma 12 3 2 3 3 2" xfId="8634"/>
    <cellStyle name="Comma 12 3 2 3 3 3" xfId="8635"/>
    <cellStyle name="Comma 12 3 2 3 4" xfId="8636"/>
    <cellStyle name="Comma 12 3 2 3 5" xfId="8637"/>
    <cellStyle name="Comma 12 3 2 4" xfId="8638"/>
    <cellStyle name="Comma 12 3 2 4 2" xfId="8639"/>
    <cellStyle name="Comma 12 3 2 4 2 2" xfId="8640"/>
    <cellStyle name="Comma 12 3 2 4 2 2 2" xfId="8641"/>
    <cellStyle name="Comma 12 3 2 4 2 2 3" xfId="8642"/>
    <cellStyle name="Comma 12 3 2 4 2 3" xfId="8643"/>
    <cellStyle name="Comma 12 3 2 4 2 4" xfId="8644"/>
    <cellStyle name="Comma 12 3 2 4 3" xfId="8645"/>
    <cellStyle name="Comma 12 3 2 4 3 2" xfId="8646"/>
    <cellStyle name="Comma 12 3 2 4 3 3" xfId="8647"/>
    <cellStyle name="Comma 12 3 2 4 4" xfId="8648"/>
    <cellStyle name="Comma 12 3 2 4 5" xfId="8649"/>
    <cellStyle name="Comma 12 3 2 5" xfId="8650"/>
    <cellStyle name="Comma 12 3 2 5 2" xfId="8651"/>
    <cellStyle name="Comma 12 3 2 5 2 2" xfId="8652"/>
    <cellStyle name="Comma 12 3 2 5 2 3" xfId="8653"/>
    <cellStyle name="Comma 12 3 2 5 3" xfId="8654"/>
    <cellStyle name="Comma 12 3 2 5 4" xfId="8655"/>
    <cellStyle name="Comma 12 3 2 6" xfId="8656"/>
    <cellStyle name="Comma 12 3 2 6 2" xfId="8657"/>
    <cellStyle name="Comma 12 3 2 6 3" xfId="8658"/>
    <cellStyle name="Comma 12 3 2 7" xfId="8659"/>
    <cellStyle name="Comma 12 3 2 8" xfId="8660"/>
    <cellStyle name="Comma 12 3 2 9" xfId="8661"/>
    <cellStyle name="Comma 12 3 3" xfId="8662"/>
    <cellStyle name="Comma 12 3 3 2" xfId="8663"/>
    <cellStyle name="Comma 12 3 3 2 2" xfId="8664"/>
    <cellStyle name="Comma 12 3 3 2 2 2" xfId="8665"/>
    <cellStyle name="Comma 12 3 3 2 2 3" xfId="8666"/>
    <cellStyle name="Comma 12 3 3 2 3" xfId="8667"/>
    <cellStyle name="Comma 12 3 3 2 4" xfId="8668"/>
    <cellStyle name="Comma 12 3 3 3" xfId="8669"/>
    <cellStyle name="Comma 12 3 3 3 2" xfId="8670"/>
    <cellStyle name="Comma 12 3 3 3 3" xfId="8671"/>
    <cellStyle name="Comma 12 3 3 4" xfId="8672"/>
    <cellStyle name="Comma 12 3 3 5" xfId="8673"/>
    <cellStyle name="Comma 12 3 4" xfId="8674"/>
    <cellStyle name="Comma 12 3 4 2" xfId="8675"/>
    <cellStyle name="Comma 12 3 4 2 2" xfId="8676"/>
    <cellStyle name="Comma 12 3 4 2 2 2" xfId="8677"/>
    <cellStyle name="Comma 12 3 4 2 2 3" xfId="8678"/>
    <cellStyle name="Comma 12 3 4 2 3" xfId="8679"/>
    <cellStyle name="Comma 12 3 4 2 4" xfId="8680"/>
    <cellStyle name="Comma 12 3 4 3" xfId="8681"/>
    <cellStyle name="Comma 12 3 4 3 2" xfId="8682"/>
    <cellStyle name="Comma 12 3 4 3 3" xfId="8683"/>
    <cellStyle name="Comma 12 3 4 4" xfId="8684"/>
    <cellStyle name="Comma 12 3 4 5" xfId="8685"/>
    <cellStyle name="Comma 12 3 5" xfId="8686"/>
    <cellStyle name="Comma 12 3 5 2" xfId="8687"/>
    <cellStyle name="Comma 12 3 5 2 2" xfId="8688"/>
    <cellStyle name="Comma 12 3 5 2 2 2" xfId="8689"/>
    <cellStyle name="Comma 12 3 5 2 2 3" xfId="8690"/>
    <cellStyle name="Comma 12 3 5 2 3" xfId="8691"/>
    <cellStyle name="Comma 12 3 5 2 4" xfId="8692"/>
    <cellStyle name="Comma 12 3 5 3" xfId="8693"/>
    <cellStyle name="Comma 12 3 5 3 2" xfId="8694"/>
    <cellStyle name="Comma 12 3 5 3 3" xfId="8695"/>
    <cellStyle name="Comma 12 3 5 4" xfId="8696"/>
    <cellStyle name="Comma 12 3 5 5" xfId="8697"/>
    <cellStyle name="Comma 12 3 6" xfId="8698"/>
    <cellStyle name="Comma 12 3 6 2" xfId="8699"/>
    <cellStyle name="Comma 12 3 6 2 2" xfId="8700"/>
    <cellStyle name="Comma 12 3 6 2 2 2" xfId="8701"/>
    <cellStyle name="Comma 12 3 6 2 2 3" xfId="8702"/>
    <cellStyle name="Comma 12 3 6 2 3" xfId="8703"/>
    <cellStyle name="Comma 12 3 6 2 4" xfId="8704"/>
    <cellStyle name="Comma 12 3 6 3" xfId="8705"/>
    <cellStyle name="Comma 12 3 6 3 2" xfId="8706"/>
    <cellStyle name="Comma 12 3 6 3 3" xfId="8707"/>
    <cellStyle name="Comma 12 3 6 4" xfId="8708"/>
    <cellStyle name="Comma 12 3 6 5" xfId="8709"/>
    <cellStyle name="Comma 12 3 7" xfId="8710"/>
    <cellStyle name="Comma 12 3 7 2" xfId="8711"/>
    <cellStyle name="Comma 12 3 7 2 2" xfId="8712"/>
    <cellStyle name="Comma 12 3 7 2 3" xfId="8713"/>
    <cellStyle name="Comma 12 3 7 3" xfId="8714"/>
    <cellStyle name="Comma 12 3 7 4" xfId="8715"/>
    <cellStyle name="Comma 12 3 8" xfId="8716"/>
    <cellStyle name="Comma 12 3 9" xfId="8717"/>
    <cellStyle name="Comma 12 4" xfId="8718"/>
    <cellStyle name="Comma 12 4 2" xfId="8719"/>
    <cellStyle name="Comma 12 4 2 2" xfId="8720"/>
    <cellStyle name="Comma 12 4 2 2 2" xfId="8721"/>
    <cellStyle name="Comma 12 4 2 2 2 2" xfId="8722"/>
    <cellStyle name="Comma 12 4 2 2 2 3" xfId="8723"/>
    <cellStyle name="Comma 12 4 2 2 3" xfId="8724"/>
    <cellStyle name="Comma 12 4 2 2 4" xfId="8725"/>
    <cellStyle name="Comma 12 4 2 3" xfId="8726"/>
    <cellStyle name="Comma 12 4 2 3 2" xfId="8727"/>
    <cellStyle name="Comma 12 4 2 3 3" xfId="8728"/>
    <cellStyle name="Comma 12 4 2 4" xfId="8729"/>
    <cellStyle name="Comma 12 4 2 5" xfId="8730"/>
    <cellStyle name="Comma 12 4 3" xfId="8731"/>
    <cellStyle name="Comma 12 4 3 2" xfId="8732"/>
    <cellStyle name="Comma 12 4 3 2 2" xfId="8733"/>
    <cellStyle name="Comma 12 4 3 2 2 2" xfId="8734"/>
    <cellStyle name="Comma 12 4 3 2 2 3" xfId="8735"/>
    <cellStyle name="Comma 12 4 3 2 3" xfId="8736"/>
    <cellStyle name="Comma 12 4 3 2 4" xfId="8737"/>
    <cellStyle name="Comma 12 4 3 3" xfId="8738"/>
    <cellStyle name="Comma 12 4 3 3 2" xfId="8739"/>
    <cellStyle name="Comma 12 4 3 3 3" xfId="8740"/>
    <cellStyle name="Comma 12 4 3 4" xfId="8741"/>
    <cellStyle name="Comma 12 4 3 5" xfId="8742"/>
    <cellStyle name="Comma 12 4 4" xfId="8743"/>
    <cellStyle name="Comma 12 4 4 2" xfId="8744"/>
    <cellStyle name="Comma 12 4 4 2 2" xfId="8745"/>
    <cellStyle name="Comma 12 4 4 2 2 2" xfId="8746"/>
    <cellStyle name="Comma 12 4 4 2 2 3" xfId="8747"/>
    <cellStyle name="Comma 12 4 4 2 3" xfId="8748"/>
    <cellStyle name="Comma 12 4 4 2 4" xfId="8749"/>
    <cellStyle name="Comma 12 4 4 3" xfId="8750"/>
    <cellStyle name="Comma 12 4 4 3 2" xfId="8751"/>
    <cellStyle name="Comma 12 4 4 3 3" xfId="8752"/>
    <cellStyle name="Comma 12 4 4 4" xfId="8753"/>
    <cellStyle name="Comma 12 4 4 5" xfId="8754"/>
    <cellStyle name="Comma 12 4 5" xfId="8755"/>
    <cellStyle name="Comma 12 4 5 2" xfId="8756"/>
    <cellStyle name="Comma 12 4 5 2 2" xfId="8757"/>
    <cellStyle name="Comma 12 4 5 2 2 2" xfId="8758"/>
    <cellStyle name="Comma 12 4 5 2 2 3" xfId="8759"/>
    <cellStyle name="Comma 12 4 5 2 3" xfId="8760"/>
    <cellStyle name="Comma 12 4 5 2 4" xfId="8761"/>
    <cellStyle name="Comma 12 4 5 3" xfId="8762"/>
    <cellStyle name="Comma 12 4 5 3 2" xfId="8763"/>
    <cellStyle name="Comma 12 4 5 3 3" xfId="8764"/>
    <cellStyle name="Comma 12 4 5 4" xfId="8765"/>
    <cellStyle name="Comma 12 4 5 5" xfId="8766"/>
    <cellStyle name="Comma 12 4 6" xfId="8767"/>
    <cellStyle name="Comma 12 4 6 2" xfId="8768"/>
    <cellStyle name="Comma 12 4 6 2 2" xfId="8769"/>
    <cellStyle name="Comma 12 4 6 2 3" xfId="8770"/>
    <cellStyle name="Comma 12 4 6 3" xfId="8771"/>
    <cellStyle name="Comma 12 4 6 4" xfId="8772"/>
    <cellStyle name="Comma 12 4 7" xfId="8773"/>
    <cellStyle name="Comma 12 5" xfId="8774"/>
    <cellStyle name="Comma 12 5 2" xfId="8775"/>
    <cellStyle name="Comma 12 5 2 2" xfId="8776"/>
    <cellStyle name="Comma 12 5 2 2 2" xfId="8777"/>
    <cellStyle name="Comma 12 5 2 2 2 2" xfId="8778"/>
    <cellStyle name="Comma 12 5 2 2 2 3" xfId="8779"/>
    <cellStyle name="Comma 12 5 2 2 3" xfId="8780"/>
    <cellStyle name="Comma 12 5 2 2 4" xfId="8781"/>
    <cellStyle name="Comma 12 5 2 3" xfId="8782"/>
    <cellStyle name="Comma 12 5 2 3 2" xfId="8783"/>
    <cellStyle name="Comma 12 5 2 3 3" xfId="8784"/>
    <cellStyle name="Comma 12 5 2 4" xfId="8785"/>
    <cellStyle name="Comma 12 5 2 5" xfId="8786"/>
    <cellStyle name="Comma 12 5 3" xfId="8787"/>
    <cellStyle name="Comma 12 5 3 2" xfId="8788"/>
    <cellStyle name="Comma 12 5 3 2 2" xfId="8789"/>
    <cellStyle name="Comma 12 5 3 2 2 2" xfId="8790"/>
    <cellStyle name="Comma 12 5 3 2 2 3" xfId="8791"/>
    <cellStyle name="Comma 12 5 3 2 3" xfId="8792"/>
    <cellStyle name="Comma 12 5 3 2 4" xfId="8793"/>
    <cellStyle name="Comma 12 5 3 3" xfId="8794"/>
    <cellStyle name="Comma 12 5 3 3 2" xfId="8795"/>
    <cellStyle name="Comma 12 5 3 3 3" xfId="8796"/>
    <cellStyle name="Comma 12 5 3 4" xfId="8797"/>
    <cellStyle name="Comma 12 5 3 5" xfId="8798"/>
    <cellStyle name="Comma 12 5 4" xfId="8799"/>
    <cellStyle name="Comma 12 5 4 2" xfId="8800"/>
    <cellStyle name="Comma 12 5 4 2 2" xfId="8801"/>
    <cellStyle name="Comma 12 5 4 2 2 2" xfId="8802"/>
    <cellStyle name="Comma 12 5 4 2 2 3" xfId="8803"/>
    <cellStyle name="Comma 12 5 4 2 3" xfId="8804"/>
    <cellStyle name="Comma 12 5 4 2 4" xfId="8805"/>
    <cellStyle name="Comma 12 5 4 3" xfId="8806"/>
    <cellStyle name="Comma 12 5 4 3 2" xfId="8807"/>
    <cellStyle name="Comma 12 5 4 3 3" xfId="8808"/>
    <cellStyle name="Comma 12 5 4 4" xfId="8809"/>
    <cellStyle name="Comma 12 5 4 5" xfId="8810"/>
    <cellStyle name="Comma 12 5 5" xfId="8811"/>
    <cellStyle name="Comma 12 5 5 2" xfId="8812"/>
    <cellStyle name="Comma 12 5 5 2 2" xfId="8813"/>
    <cellStyle name="Comma 12 5 5 2 3" xfId="8814"/>
    <cellStyle name="Comma 12 5 5 3" xfId="8815"/>
    <cellStyle name="Comma 12 5 5 4" xfId="8816"/>
    <cellStyle name="Comma 12 5 6" xfId="8817"/>
    <cellStyle name="Comma 12 5 6 2" xfId="8818"/>
    <cellStyle name="Comma 12 5 6 3" xfId="8819"/>
    <cellStyle name="Comma 12 5 7" xfId="8820"/>
    <cellStyle name="Comma 12 5 8" xfId="8821"/>
    <cellStyle name="Comma 12 5 9" xfId="8822"/>
    <cellStyle name="Comma 12 6" xfId="8823"/>
    <cellStyle name="Comma 12 6 2" xfId="8824"/>
    <cellStyle name="Comma 12 6 3" xfId="8825"/>
    <cellStyle name="Comma 12 7" xfId="8826"/>
    <cellStyle name="Comma 12 7 2" xfId="8827"/>
    <cellStyle name="Comma 12 8" xfId="8828"/>
    <cellStyle name="Comma 12 8 2" xfId="8829"/>
    <cellStyle name="Comma 12 9" xfId="8830"/>
    <cellStyle name="Comma 12 9 2" xfId="8831"/>
    <cellStyle name="Comma 12 9 2 2" xfId="8832"/>
    <cellStyle name="Comma 12 9 3" xfId="8833"/>
    <cellStyle name="Comma 120" xfId="8834"/>
    <cellStyle name="Comma 120 2" xfId="8835"/>
    <cellStyle name="Comma 120 2 2" xfId="8836"/>
    <cellStyle name="Comma 120 3" xfId="8837"/>
    <cellStyle name="Comma 121" xfId="8838"/>
    <cellStyle name="Comma 121 2" xfId="8839"/>
    <cellStyle name="Comma 121 2 2" xfId="8840"/>
    <cellStyle name="Comma 121 2 2 2" xfId="8841"/>
    <cellStyle name="Comma 121 2 2 3" xfId="8842"/>
    <cellStyle name="Comma 121 2 3" xfId="8843"/>
    <cellStyle name="Comma 121 2 4" xfId="8844"/>
    <cellStyle name="Comma 121 3" xfId="8845"/>
    <cellStyle name="Comma 121 3 2" xfId="8846"/>
    <cellStyle name="Comma 121 3 3" xfId="8847"/>
    <cellStyle name="Comma 121 4" xfId="8848"/>
    <cellStyle name="Comma 121 5" xfId="8849"/>
    <cellStyle name="Comma 122" xfId="8850"/>
    <cellStyle name="Comma 122 2" xfId="8851"/>
    <cellStyle name="Comma 122 2 2" xfId="8852"/>
    <cellStyle name="Comma 122 2 2 2" xfId="8853"/>
    <cellStyle name="Comma 122 2 2 3" xfId="8854"/>
    <cellStyle name="Comma 122 2 3" xfId="8855"/>
    <cellStyle name="Comma 122 2 4" xfId="8856"/>
    <cellStyle name="Comma 122 3" xfId="8857"/>
    <cellStyle name="Comma 122 3 2" xfId="8858"/>
    <cellStyle name="Comma 122 3 3" xfId="8859"/>
    <cellStyle name="Comma 122 4" xfId="8860"/>
    <cellStyle name="Comma 122 5" xfId="8861"/>
    <cellStyle name="Comma 123" xfId="8862"/>
    <cellStyle name="Comma 123 2" xfId="8863"/>
    <cellStyle name="Comma 123 2 2" xfId="8864"/>
    <cellStyle name="Comma 123 2 2 2" xfId="8865"/>
    <cellStyle name="Comma 123 2 2 3" xfId="8866"/>
    <cellStyle name="Comma 123 2 3" xfId="8867"/>
    <cellStyle name="Comma 123 2 4" xfId="8868"/>
    <cellStyle name="Comma 123 3" xfId="8869"/>
    <cellStyle name="Comma 123 3 2" xfId="8870"/>
    <cellStyle name="Comma 123 3 3" xfId="8871"/>
    <cellStyle name="Comma 123 4" xfId="8872"/>
    <cellStyle name="Comma 123 5" xfId="8873"/>
    <cellStyle name="Comma 124" xfId="8874"/>
    <cellStyle name="Comma 124 2" xfId="8875"/>
    <cellStyle name="Comma 124 2 2" xfId="8876"/>
    <cellStyle name="Comma 124 2 2 2" xfId="8877"/>
    <cellStyle name="Comma 124 2 2 3" xfId="8878"/>
    <cellStyle name="Comma 124 2 3" xfId="8879"/>
    <cellStyle name="Comma 124 2 4" xfId="8880"/>
    <cellStyle name="Comma 124 3" xfId="8881"/>
    <cellStyle name="Comma 124 3 2" xfId="8882"/>
    <cellStyle name="Comma 124 3 3" xfId="8883"/>
    <cellStyle name="Comma 124 4" xfId="8884"/>
    <cellStyle name="Comma 124 5" xfId="8885"/>
    <cellStyle name="Comma 125" xfId="8886"/>
    <cellStyle name="Comma 125 2" xfId="8887"/>
    <cellStyle name="Comma 125 2 2" xfId="8888"/>
    <cellStyle name="Comma 125 2 2 2" xfId="8889"/>
    <cellStyle name="Comma 125 2 2 3" xfId="8890"/>
    <cellStyle name="Comma 125 2 3" xfId="8891"/>
    <cellStyle name="Comma 125 2 4" xfId="8892"/>
    <cellStyle name="Comma 125 3" xfId="8893"/>
    <cellStyle name="Comma 125 3 2" xfId="8894"/>
    <cellStyle name="Comma 125 3 3" xfId="8895"/>
    <cellStyle name="Comma 125 4" xfId="8896"/>
    <cellStyle name="Comma 125 5" xfId="8897"/>
    <cellStyle name="Comma 126" xfId="8898"/>
    <cellStyle name="Comma 126 2" xfId="8899"/>
    <cellStyle name="Comma 126 2 2" xfId="8900"/>
    <cellStyle name="Comma 126 2 2 2" xfId="8901"/>
    <cellStyle name="Comma 126 2 2 3" xfId="8902"/>
    <cellStyle name="Comma 126 2 3" xfId="8903"/>
    <cellStyle name="Comma 126 2 4" xfId="8904"/>
    <cellStyle name="Comma 126 3" xfId="8905"/>
    <cellStyle name="Comma 126 3 2" xfId="8906"/>
    <cellStyle name="Comma 126 3 3" xfId="8907"/>
    <cellStyle name="Comma 126 4" xfId="8908"/>
    <cellStyle name="Comma 126 5" xfId="8909"/>
    <cellStyle name="Comma 127" xfId="8910"/>
    <cellStyle name="Comma 127 2" xfId="8911"/>
    <cellStyle name="Comma 127 2 2" xfId="8912"/>
    <cellStyle name="Comma 127 2 2 2" xfId="8913"/>
    <cellStyle name="Comma 127 2 2 3" xfId="8914"/>
    <cellStyle name="Comma 127 2 3" xfId="8915"/>
    <cellStyle name="Comma 127 2 4" xfId="8916"/>
    <cellStyle name="Comma 127 3" xfId="8917"/>
    <cellStyle name="Comma 127 3 2" xfId="8918"/>
    <cellStyle name="Comma 127 3 3" xfId="8919"/>
    <cellStyle name="Comma 127 4" xfId="8920"/>
    <cellStyle name="Comma 127 5" xfId="8921"/>
    <cellStyle name="Comma 128" xfId="8922"/>
    <cellStyle name="Comma 128 2" xfId="8923"/>
    <cellStyle name="Comma 128 2 2" xfId="8924"/>
    <cellStyle name="Comma 128 3" xfId="8925"/>
    <cellStyle name="Comma 129" xfId="8926"/>
    <cellStyle name="Comma 129 2" xfId="8927"/>
    <cellStyle name="Comma 129 2 2" xfId="8928"/>
    <cellStyle name="Comma 129 3" xfId="8929"/>
    <cellStyle name="Comma 13" xfId="8930"/>
    <cellStyle name="Comma 13 2" xfId="8931"/>
    <cellStyle name="Comma 13 2 2" xfId="8932"/>
    <cellStyle name="Comma 13 2 2 2" xfId="8933"/>
    <cellStyle name="Comma 13 2 2 3" xfId="8934"/>
    <cellStyle name="Comma 13 2 3" xfId="8935"/>
    <cellStyle name="Comma 13 3" xfId="8936"/>
    <cellStyle name="Comma 13 3 2" xfId="8937"/>
    <cellStyle name="Comma 13 3 3" xfId="8938"/>
    <cellStyle name="Comma 13 4" xfId="8939"/>
    <cellStyle name="Comma 13 4 2" xfId="8940"/>
    <cellStyle name="Comma 13 4 3" xfId="8941"/>
    <cellStyle name="Comma 13 5" xfId="8942"/>
    <cellStyle name="Comma 13 5 2" xfId="8943"/>
    <cellStyle name="Comma 13 6" xfId="8944"/>
    <cellStyle name="Comma 130" xfId="8945"/>
    <cellStyle name="Comma 130 2" xfId="8946"/>
    <cellStyle name="Comma 130 2 2" xfId="8947"/>
    <cellStyle name="Comma 130 3" xfId="8948"/>
    <cellStyle name="Comma 131" xfId="8949"/>
    <cellStyle name="Comma 131 2" xfId="8950"/>
    <cellStyle name="Comma 131 2 2" xfId="8951"/>
    <cellStyle name="Comma 131 3" xfId="8952"/>
    <cellStyle name="Comma 132" xfId="8953"/>
    <cellStyle name="Comma 132 2" xfId="8954"/>
    <cellStyle name="Comma 133" xfId="8955"/>
    <cellStyle name="Comma 133 2" xfId="8956"/>
    <cellStyle name="Comma 134" xfId="8957"/>
    <cellStyle name="Comma 134 2" xfId="8958"/>
    <cellStyle name="Comma 135" xfId="8959"/>
    <cellStyle name="Comma 135 2" xfId="8960"/>
    <cellStyle name="Comma 136" xfId="8961"/>
    <cellStyle name="Comma 136 2" xfId="8962"/>
    <cellStyle name="Comma 137" xfId="8963"/>
    <cellStyle name="Comma 137 2" xfId="8964"/>
    <cellStyle name="Comma 138" xfId="8965"/>
    <cellStyle name="Comma 138 2" xfId="8966"/>
    <cellStyle name="Comma 139" xfId="8967"/>
    <cellStyle name="Comma 139 2" xfId="8968"/>
    <cellStyle name="Comma 14" xfId="8969"/>
    <cellStyle name="Comma 14 2" xfId="8970"/>
    <cellStyle name="Comma 14 2 2" xfId="8971"/>
    <cellStyle name="Comma 14 2 2 2" xfId="8972"/>
    <cellStyle name="Comma 14 2 3" xfId="8973"/>
    <cellStyle name="Comma 14 2 3 2" xfId="8974"/>
    <cellStyle name="Comma 14 2 4" xfId="8975"/>
    <cellStyle name="Comma 14 2 5" xfId="8976"/>
    <cellStyle name="Comma 14 3" xfId="8977"/>
    <cellStyle name="Comma 14 3 2" xfId="8978"/>
    <cellStyle name="Comma 14 3 3" xfId="8979"/>
    <cellStyle name="Comma 14 4" xfId="8980"/>
    <cellStyle name="Comma 14 5" xfId="8981"/>
    <cellStyle name="Comma 14 5 2" xfId="8982"/>
    <cellStyle name="Comma 14 6" xfId="8983"/>
    <cellStyle name="Comma 140" xfId="8984"/>
    <cellStyle name="Comma 140 2" xfId="8985"/>
    <cellStyle name="Comma 141" xfId="8986"/>
    <cellStyle name="Comma 141 2" xfId="8987"/>
    <cellStyle name="Comma 142" xfId="8988"/>
    <cellStyle name="Comma 142 2" xfId="8989"/>
    <cellStyle name="Comma 143" xfId="8990"/>
    <cellStyle name="Comma 143 2" xfId="8991"/>
    <cellStyle name="Comma 144" xfId="8992"/>
    <cellStyle name="Comma 144 2" xfId="8993"/>
    <cellStyle name="Comma 145" xfId="8994"/>
    <cellStyle name="Comma 145 2" xfId="8995"/>
    <cellStyle name="Comma 146" xfId="8996"/>
    <cellStyle name="Comma 146 2" xfId="8997"/>
    <cellStyle name="Comma 147" xfId="8998"/>
    <cellStyle name="Comma 147 2" xfId="8999"/>
    <cellStyle name="Comma 148" xfId="9000"/>
    <cellStyle name="Comma 148 2" xfId="9001"/>
    <cellStyle name="Comma 149" xfId="9002"/>
    <cellStyle name="Comma 149 2" xfId="9003"/>
    <cellStyle name="Comma 15" xfId="9004"/>
    <cellStyle name="Comma 15 2" xfId="9005"/>
    <cellStyle name="Comma 15 2 2" xfId="9006"/>
    <cellStyle name="Comma 15 2 2 2" xfId="9007"/>
    <cellStyle name="Comma 15 2 2 3" xfId="9008"/>
    <cellStyle name="Comma 15 2 3" xfId="9009"/>
    <cellStyle name="Comma 15 3" xfId="9010"/>
    <cellStyle name="Comma 15 3 2" xfId="9011"/>
    <cellStyle name="Comma 15 3 3" xfId="9012"/>
    <cellStyle name="Comma 15 4" xfId="9013"/>
    <cellStyle name="Comma 15 4 2" xfId="9014"/>
    <cellStyle name="Comma 15 4 3" xfId="9015"/>
    <cellStyle name="Comma 15 5" xfId="9016"/>
    <cellStyle name="Comma 15 5 2" xfId="9017"/>
    <cellStyle name="Comma 15 6" xfId="9018"/>
    <cellStyle name="Comma 150" xfId="9019"/>
    <cellStyle name="Comma 150 2" xfId="9020"/>
    <cellStyle name="Comma 150 2 2" xfId="9021"/>
    <cellStyle name="Comma 150 2 2 2" xfId="9022"/>
    <cellStyle name="Comma 150 2 2 3" xfId="9023"/>
    <cellStyle name="Comma 150 2 3" xfId="9024"/>
    <cellStyle name="Comma 150 2 4" xfId="9025"/>
    <cellStyle name="Comma 150 3" xfId="9026"/>
    <cellStyle name="Comma 150 3 2" xfId="9027"/>
    <cellStyle name="Comma 150 3 3" xfId="9028"/>
    <cellStyle name="Comma 150 4" xfId="9029"/>
    <cellStyle name="Comma 150 5" xfId="9030"/>
    <cellStyle name="Comma 151" xfId="9031"/>
    <cellStyle name="Comma 151 2" xfId="9032"/>
    <cellStyle name="Comma 151 2 2" xfId="9033"/>
    <cellStyle name="Comma 151 2 2 2" xfId="9034"/>
    <cellStyle name="Comma 151 2 2 3" xfId="9035"/>
    <cellStyle name="Comma 151 2 3" xfId="9036"/>
    <cellStyle name="Comma 151 2 4" xfId="9037"/>
    <cellStyle name="Comma 151 3" xfId="9038"/>
    <cellStyle name="Comma 151 3 2" xfId="9039"/>
    <cellStyle name="Comma 151 3 3" xfId="9040"/>
    <cellStyle name="Comma 151 4" xfId="9041"/>
    <cellStyle name="Comma 151 5" xfId="9042"/>
    <cellStyle name="Comma 152" xfId="9043"/>
    <cellStyle name="Comma 152 2" xfId="9044"/>
    <cellStyle name="Comma 152 2 2" xfId="9045"/>
    <cellStyle name="Comma 152 2 2 2" xfId="9046"/>
    <cellStyle name="Comma 152 2 2 3" xfId="9047"/>
    <cellStyle name="Comma 152 2 3" xfId="9048"/>
    <cellStyle name="Comma 152 2 4" xfId="9049"/>
    <cellStyle name="Comma 152 3" xfId="9050"/>
    <cellStyle name="Comma 152 3 2" xfId="9051"/>
    <cellStyle name="Comma 152 3 3" xfId="9052"/>
    <cellStyle name="Comma 152 4" xfId="9053"/>
    <cellStyle name="Comma 152 5" xfId="9054"/>
    <cellStyle name="Comma 153" xfId="9055"/>
    <cellStyle name="Comma 153 2" xfId="9056"/>
    <cellStyle name="Comma 153 2 2" xfId="9057"/>
    <cellStyle name="Comma 153 2 2 2" xfId="9058"/>
    <cellStyle name="Comma 153 2 2 3" xfId="9059"/>
    <cellStyle name="Comma 153 2 3" xfId="9060"/>
    <cellStyle name="Comma 153 2 4" xfId="9061"/>
    <cellStyle name="Comma 153 3" xfId="9062"/>
    <cellStyle name="Comma 153 3 2" xfId="9063"/>
    <cellStyle name="Comma 153 3 3" xfId="9064"/>
    <cellStyle name="Comma 153 4" xfId="9065"/>
    <cellStyle name="Comma 153 5" xfId="9066"/>
    <cellStyle name="Comma 154" xfId="9067"/>
    <cellStyle name="Comma 154 2" xfId="9068"/>
    <cellStyle name="Comma 154 2 2" xfId="9069"/>
    <cellStyle name="Comma 154 2 2 2" xfId="9070"/>
    <cellStyle name="Comma 154 2 2 3" xfId="9071"/>
    <cellStyle name="Comma 154 2 3" xfId="9072"/>
    <cellStyle name="Comma 154 2 4" xfId="9073"/>
    <cellStyle name="Comma 154 3" xfId="9074"/>
    <cellStyle name="Comma 154 3 2" xfId="9075"/>
    <cellStyle name="Comma 154 3 3" xfId="9076"/>
    <cellStyle name="Comma 154 4" xfId="9077"/>
    <cellStyle name="Comma 154 5" xfId="9078"/>
    <cellStyle name="Comma 155" xfId="9079"/>
    <cellStyle name="Comma 155 2" xfId="9080"/>
    <cellStyle name="Comma 156" xfId="9081"/>
    <cellStyle name="Comma 156 2" xfId="9082"/>
    <cellStyle name="Comma 157" xfId="9083"/>
    <cellStyle name="Comma 157 2" xfId="9084"/>
    <cellStyle name="Comma 158" xfId="9085"/>
    <cellStyle name="Comma 158 2" xfId="9086"/>
    <cellStyle name="Comma 159" xfId="9087"/>
    <cellStyle name="Comma 159 2" xfId="9088"/>
    <cellStyle name="Comma 16" xfId="9089"/>
    <cellStyle name="Comma 16 2" xfId="9090"/>
    <cellStyle name="Comma 16 2 2" xfId="9091"/>
    <cellStyle name="Comma 16 2 2 2" xfId="9092"/>
    <cellStyle name="Comma 16 2 3" xfId="9093"/>
    <cellStyle name="Comma 16 3" xfId="9094"/>
    <cellStyle name="Comma 16 3 2" xfId="9095"/>
    <cellStyle name="Comma 16 4" xfId="9096"/>
    <cellStyle name="Comma 16 4 2" xfId="9097"/>
    <cellStyle name="Comma 16 5" xfId="9098"/>
    <cellStyle name="Comma 160" xfId="9099"/>
    <cellStyle name="Comma 160 2" xfId="9100"/>
    <cellStyle name="Comma 161" xfId="9101"/>
    <cellStyle name="Comma 161 2" xfId="9102"/>
    <cellStyle name="Comma 162" xfId="9103"/>
    <cellStyle name="Comma 162 2" xfId="9104"/>
    <cellStyle name="Comma 163" xfId="9105"/>
    <cellStyle name="Comma 163 2" xfId="9106"/>
    <cellStyle name="Comma 164" xfId="9107"/>
    <cellStyle name="Comma 164 2" xfId="9108"/>
    <cellStyle name="Comma 165" xfId="9109"/>
    <cellStyle name="Comma 165 2" xfId="9110"/>
    <cellStyle name="Comma 165 3" xfId="9111"/>
    <cellStyle name="Comma 166" xfId="9112"/>
    <cellStyle name="Comma 166 2" xfId="9113"/>
    <cellStyle name="Comma 166 3" xfId="9114"/>
    <cellStyle name="Comma 167" xfId="9115"/>
    <cellStyle name="Comma 167 2" xfId="9116"/>
    <cellStyle name="Comma 167 3" xfId="9117"/>
    <cellStyle name="Comma 168" xfId="9118"/>
    <cellStyle name="Comma 168 2" xfId="9119"/>
    <cellStyle name="Comma 168 3" xfId="9120"/>
    <cellStyle name="Comma 169" xfId="9121"/>
    <cellStyle name="Comma 169 2" xfId="9122"/>
    <cellStyle name="Comma 169 3" xfId="9123"/>
    <cellStyle name="Comma 17" xfId="9124"/>
    <cellStyle name="Comma 17 2" xfId="9125"/>
    <cellStyle name="Comma 17 2 2" xfId="9126"/>
    <cellStyle name="Comma 17 2 2 2" xfId="9127"/>
    <cellStyle name="Comma 17 2 3" xfId="9128"/>
    <cellStyle name="Comma 17 3" xfId="9129"/>
    <cellStyle name="Comma 17 3 2" xfId="9130"/>
    <cellStyle name="Comma 17 4" xfId="9131"/>
    <cellStyle name="Comma 17 4 2" xfId="9132"/>
    <cellStyle name="Comma 17 5" xfId="9133"/>
    <cellStyle name="Comma 170" xfId="9134"/>
    <cellStyle name="Comma 170 2" xfId="9135"/>
    <cellStyle name="Comma 170 3" xfId="9136"/>
    <cellStyle name="Comma 171" xfId="9137"/>
    <cellStyle name="Comma 171 2" xfId="9138"/>
    <cellStyle name="Comma 171 3" xfId="9139"/>
    <cellStyle name="Comma 172" xfId="9140"/>
    <cellStyle name="Comma 172 2" xfId="9141"/>
    <cellStyle name="Comma 172 3" xfId="9142"/>
    <cellStyle name="Comma 173" xfId="9143"/>
    <cellStyle name="Comma 173 2" xfId="9144"/>
    <cellStyle name="Comma 173 3" xfId="9145"/>
    <cellStyle name="Comma 174" xfId="9146"/>
    <cellStyle name="Comma 174 2" xfId="9147"/>
    <cellStyle name="Comma 174 3" xfId="9148"/>
    <cellStyle name="Comma 175" xfId="9149"/>
    <cellStyle name="Comma 175 2" xfId="9150"/>
    <cellStyle name="Comma 176" xfId="9151"/>
    <cellStyle name="Comma 176 2" xfId="9152"/>
    <cellStyle name="Comma 177" xfId="9153"/>
    <cellStyle name="Comma 177 2" xfId="9154"/>
    <cellStyle name="Comma 178" xfId="9155"/>
    <cellStyle name="Comma 178 2" xfId="9156"/>
    <cellStyle name="Comma 179" xfId="9157"/>
    <cellStyle name="Comma 179 2" xfId="9158"/>
    <cellStyle name="Comma 18" xfId="9159"/>
    <cellStyle name="Comma 18 2" xfId="9160"/>
    <cellStyle name="Comma 18 2 2" xfId="9161"/>
    <cellStyle name="Comma 18 2 2 2" xfId="9162"/>
    <cellStyle name="Comma 18 2 3" xfId="9163"/>
    <cellStyle name="Comma 18 3" xfId="9164"/>
    <cellStyle name="Comma 18 3 2" xfId="9165"/>
    <cellStyle name="Comma 18 4" xfId="9166"/>
    <cellStyle name="Comma 180" xfId="9167"/>
    <cellStyle name="Comma 180 2" xfId="9168"/>
    <cellStyle name="Comma 181" xfId="9169"/>
    <cellStyle name="Comma 181 2" xfId="9170"/>
    <cellStyle name="Comma 182" xfId="9171"/>
    <cellStyle name="Comma 182 2" xfId="9172"/>
    <cellStyle name="Comma 183" xfId="9173"/>
    <cellStyle name="Comma 183 2" xfId="9174"/>
    <cellStyle name="Comma 184" xfId="9175"/>
    <cellStyle name="Comma 184 2" xfId="9176"/>
    <cellStyle name="Comma 185" xfId="9177"/>
    <cellStyle name="Comma 185 2" xfId="9178"/>
    <cellStyle name="Comma 186" xfId="9179"/>
    <cellStyle name="Comma 186 2" xfId="9180"/>
    <cellStyle name="Comma 187" xfId="9181"/>
    <cellStyle name="Comma 187 2" xfId="9182"/>
    <cellStyle name="Comma 188" xfId="9183"/>
    <cellStyle name="Comma 188 2" xfId="9184"/>
    <cellStyle name="Comma 189" xfId="9185"/>
    <cellStyle name="Comma 189 2" xfId="9186"/>
    <cellStyle name="Comma 19" xfId="9187"/>
    <cellStyle name="Comma 19 2" xfId="9188"/>
    <cellStyle name="Comma 19 2 2" xfId="9189"/>
    <cellStyle name="Comma 19 2 2 2" xfId="9190"/>
    <cellStyle name="Comma 19 2 2 3" xfId="9191"/>
    <cellStyle name="Comma 19 2 3" xfId="9192"/>
    <cellStyle name="Comma 19 3" xfId="9193"/>
    <cellStyle name="Comma 19 4" xfId="9194"/>
    <cellStyle name="Comma 190" xfId="9195"/>
    <cellStyle name="Comma 190 2" xfId="9196"/>
    <cellStyle name="Comma 191" xfId="9197"/>
    <cellStyle name="Comma 191 2" xfId="9198"/>
    <cellStyle name="Comma 192" xfId="9199"/>
    <cellStyle name="Comma 192 2" xfId="9200"/>
    <cellStyle name="Comma 193" xfId="9201"/>
    <cellStyle name="Comma 193 2" xfId="9202"/>
    <cellStyle name="Comma 194" xfId="9203"/>
    <cellStyle name="Comma 194 2" xfId="9204"/>
    <cellStyle name="Comma 195" xfId="9205"/>
    <cellStyle name="Comma 195 2" xfId="9206"/>
    <cellStyle name="Comma 196" xfId="9207"/>
    <cellStyle name="Comma 196 2" xfId="9208"/>
    <cellStyle name="Comma 197" xfId="9209"/>
    <cellStyle name="Comma 197 2" xfId="9210"/>
    <cellStyle name="Comma 198" xfId="9211"/>
    <cellStyle name="Comma 198 2" xfId="9212"/>
    <cellStyle name="Comma 198 3" xfId="9213"/>
    <cellStyle name="Comma 199" xfId="9214"/>
    <cellStyle name="Comma 199 2" xfId="9215"/>
    <cellStyle name="Comma 199 3" xfId="9216"/>
    <cellStyle name="Comma 2" xfId="9217"/>
    <cellStyle name="Comma 2 10" xfId="9218"/>
    <cellStyle name="Comma 2 10 2"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33" xfId="46646"/>
    <cellStyle name="Comma 234" xfId="46650"/>
    <cellStyle name="Comma 235" xfId="46654"/>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xfId="2" builtinId="4"/>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00" xfId="46643"/>
    <cellStyle name="Currency 201" xfId="46648"/>
    <cellStyle name="Currency 202" xfId="46652"/>
    <cellStyle name="Currency 203" xfId="46656"/>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4"/>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44" xfId="46642"/>
    <cellStyle name="Normal 345" xfId="46645"/>
    <cellStyle name="Normal 346" xfId="46649"/>
    <cellStyle name="Normal 347" xfId="46653"/>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xfId="3" builtinId="5"/>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72" xfId="46644"/>
    <cellStyle name="Percent 73" xfId="46647"/>
    <cellStyle name="Percent 74" xfId="46651"/>
    <cellStyle name="Percent 75" xfId="46655"/>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 Id="rId43" Type="http://schemas.openxmlformats.org/officeDocument/2006/relationships/customXml" Target="../customXml/item5.xml"/></Relationships>
</file>

<file path=xl/ctrlProps/ctrlProp1.xml><?xml version="1.0" encoding="utf-8"?>
<formControlPr xmlns="http://schemas.microsoft.com/office/spreadsheetml/2009/9/main" objectType="Radio" checked="Checked" firstButton="1" fmlaLink="$Q$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Q$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Q$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Q$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fmlaLink="$Q$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Q$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firstButton="1" fmlaLink="$Q$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checked="Checked" firstButton="1" fmlaLink="$Q$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Q$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firstButton="1" fmlaLink="$Q$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Q$1" lockText="1" noThreeD="1"/>
</file>

<file path=xl/ctrlProps/ctrlProp3.xml><?xml version="1.0" encoding="utf-8"?>
<formControlPr xmlns="http://schemas.microsoft.com/office/spreadsheetml/2009/9/main" objectType="Radio" checked="Checked" firstButton="1" fmlaLink="$Q$1"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firstButton="1" fmlaLink="$Q$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firstButton="1" fmlaLink="$Q$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checked="Checked" firstButton="1" fmlaLink="$Q$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checked="Checked" firstButton="1" fmlaLink="$Q$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firstButton="1" fmlaLink="$Q$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checked="Checked" firstButton="1" fmlaLink="$Q$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firstButton="1" fmlaLink="$Q$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firstButton="1" fmlaLink="$Q$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checked="Checked" firstButton="1" fmlaLink="$Q$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firstButton="1" fmlaLink="$Q$1" lockText="1" noThreeD="1"/>
</file>

<file path=xl/ctrlProps/ctrlProp5.xml><?xml version="1.0" encoding="utf-8"?>
<formControlPr xmlns="http://schemas.microsoft.com/office/spreadsheetml/2009/9/main" objectType="Radio" checked="Checked" firstButton="1" fmlaLink="$Q$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firstButton="1" fmlaLink="$Q$1" lockText="1" noThreeD="1"/>
</file>

<file path=xl/ctrlProps/ctrlProp52.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Q$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checked="Checked" firstButton="1" fmlaLink="$Q$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1676400</xdr:colOff>
          <xdr:row>7</xdr:row>
          <xdr:rowOff>19050</xdr:rowOff>
        </xdr:from>
        <xdr:to>
          <xdr:col>3</xdr:col>
          <xdr:colOff>552450</xdr:colOff>
          <xdr:row>7</xdr:row>
          <xdr:rowOff>114300</xdr:rowOff>
        </xdr:to>
        <xdr:sp macro="" textlink="">
          <xdr:nvSpPr>
            <xdr:cNvPr id="11265" name="Option Button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xdr:row>
          <xdr:rowOff>152400</xdr:rowOff>
        </xdr:from>
        <xdr:to>
          <xdr:col>6</xdr:col>
          <xdr:colOff>514350</xdr:colOff>
          <xdr:row>7</xdr:row>
          <xdr:rowOff>161925</xdr:rowOff>
        </xdr:to>
        <xdr:sp macro="" textlink="">
          <xdr:nvSpPr>
            <xdr:cNvPr id="11266" name="Option Button 2"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16</xdr:row>
          <xdr:rowOff>190500</xdr:rowOff>
        </xdr:from>
        <xdr:to>
          <xdr:col>9</xdr:col>
          <xdr:colOff>466725</xdr:colOff>
          <xdr:row>18</xdr:row>
          <xdr:rowOff>47625</xdr:rowOff>
        </xdr:to>
        <xdr:sp macro="" textlink="">
          <xdr:nvSpPr>
            <xdr:cNvPr id="16385" name="Option Button 1" hidden="1">
              <a:extLst>
                <a:ext uri="{63B3BB69-23CF-44E3-9099-C40C66FF867C}">
                  <a14:compatExt spid="_x0000_s16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16</xdr:row>
          <xdr:rowOff>133350</xdr:rowOff>
        </xdr:from>
        <xdr:to>
          <xdr:col>15</xdr:col>
          <xdr:colOff>209550</xdr:colOff>
          <xdr:row>18</xdr:row>
          <xdr:rowOff>152400</xdr:rowOff>
        </xdr:to>
        <xdr:sp macro="" textlink="">
          <xdr:nvSpPr>
            <xdr:cNvPr id="16386" name="Option Button 2" hidden="1">
              <a:extLst>
                <a:ext uri="{63B3BB69-23CF-44E3-9099-C40C66FF867C}">
                  <a14:compatExt spid="_x0000_s16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16</xdr:row>
          <xdr:rowOff>190500</xdr:rowOff>
        </xdr:from>
        <xdr:to>
          <xdr:col>9</xdr:col>
          <xdr:colOff>476250</xdr:colOff>
          <xdr:row>18</xdr:row>
          <xdr:rowOff>47625</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16</xdr:row>
          <xdr:rowOff>133350</xdr:rowOff>
        </xdr:from>
        <xdr:to>
          <xdr:col>16</xdr:col>
          <xdr:colOff>9525</xdr:colOff>
          <xdr:row>18</xdr:row>
          <xdr:rowOff>152400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466725</xdr:colOff>
          <xdr:row>16</xdr:row>
          <xdr:rowOff>190500</xdr:rowOff>
        </xdr:from>
        <xdr:to>
          <xdr:col>9</xdr:col>
          <xdr:colOff>457200</xdr:colOff>
          <xdr:row>18</xdr:row>
          <xdr:rowOff>47625</xdr:rowOff>
        </xdr:to>
        <xdr:sp macro="" textlink="">
          <xdr:nvSpPr>
            <xdr:cNvPr id="17409" name="Option Button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16</xdr:row>
          <xdr:rowOff>133350</xdr:rowOff>
        </xdr:from>
        <xdr:to>
          <xdr:col>15</xdr:col>
          <xdr:colOff>209550</xdr:colOff>
          <xdr:row>18</xdr:row>
          <xdr:rowOff>152400</xdr:rowOff>
        </xdr:to>
        <xdr:sp macro="" textlink="">
          <xdr:nvSpPr>
            <xdr:cNvPr id="17410" name="Option Button 2" hidden="1">
              <a:extLst>
                <a:ext uri="{63B3BB69-23CF-44E3-9099-C40C66FF867C}">
                  <a14:compatExt spid="_x0000_s17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7</xdr:row>
          <xdr:rowOff>19050</xdr:rowOff>
        </xdr:from>
        <xdr:to>
          <xdr:col>4</xdr:col>
          <xdr:colOff>28575</xdr:colOff>
          <xdr:row>7</xdr:row>
          <xdr:rowOff>114300</xdr:rowOff>
        </xdr:to>
        <xdr:sp macro="" textlink="">
          <xdr:nvSpPr>
            <xdr:cNvPr id="18433" name="Option Button 1" hidden="1">
              <a:extLst>
                <a:ext uri="{63B3BB69-23CF-44E3-9099-C40C66FF867C}">
                  <a14:compatExt spid="_x0000_s18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6</xdr:row>
          <xdr:rowOff>142875</xdr:rowOff>
        </xdr:from>
        <xdr:to>
          <xdr:col>6</xdr:col>
          <xdr:colOff>314325</xdr:colOff>
          <xdr:row>7</xdr:row>
          <xdr:rowOff>161925</xdr:rowOff>
        </xdr:to>
        <xdr:sp macro="" textlink="">
          <xdr:nvSpPr>
            <xdr:cNvPr id="18434" name="Option Button 2" hidden="1">
              <a:extLst>
                <a:ext uri="{63B3BB69-23CF-44E3-9099-C40C66FF867C}">
                  <a14:compatExt spid="_x0000_s18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16</xdr:row>
          <xdr:rowOff>171450</xdr:rowOff>
        </xdr:from>
        <xdr:to>
          <xdr:col>9</xdr:col>
          <xdr:colOff>333375</xdr:colOff>
          <xdr:row>18</xdr:row>
          <xdr:rowOff>28575</xdr:rowOff>
        </xdr:to>
        <xdr:sp macro="" textlink="">
          <xdr:nvSpPr>
            <xdr:cNvPr id="30721" name="Option Button 1" hidden="1">
              <a:extLst>
                <a:ext uri="{63B3BB69-23CF-44E3-9099-C40C66FF867C}">
                  <a14:compatExt spid="_x0000_s307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16</xdr:row>
          <xdr:rowOff>114300</xdr:rowOff>
        </xdr:from>
        <xdr:to>
          <xdr:col>15</xdr:col>
          <xdr:colOff>95250</xdr:colOff>
          <xdr:row>18</xdr:row>
          <xdr:rowOff>133350</xdr:rowOff>
        </xdr:to>
        <xdr:sp macro="" textlink="">
          <xdr:nvSpPr>
            <xdr:cNvPr id="30722" name="Option Button 2" hidden="1">
              <a:extLst>
                <a:ext uri="{63B3BB69-23CF-44E3-9099-C40C66FF867C}">
                  <a14:compatExt spid="_x0000_s307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466725</xdr:colOff>
          <xdr:row>16</xdr:row>
          <xdr:rowOff>190500</xdr:rowOff>
        </xdr:from>
        <xdr:to>
          <xdr:col>9</xdr:col>
          <xdr:colOff>381000</xdr:colOff>
          <xdr:row>18</xdr:row>
          <xdr:rowOff>47625</xdr:rowOff>
        </xdr:to>
        <xdr:sp macro="" textlink="">
          <xdr:nvSpPr>
            <xdr:cNvPr id="31745" name="Option Button 1" hidden="1">
              <a:extLst>
                <a:ext uri="{63B3BB69-23CF-44E3-9099-C40C66FF867C}">
                  <a14:compatExt spid="_x0000_s317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16</xdr:row>
          <xdr:rowOff>133350</xdr:rowOff>
        </xdr:from>
        <xdr:to>
          <xdr:col>15</xdr:col>
          <xdr:colOff>19050</xdr:colOff>
          <xdr:row>18</xdr:row>
          <xdr:rowOff>152400</xdr:rowOff>
        </xdr:to>
        <xdr:sp macro="" textlink="">
          <xdr:nvSpPr>
            <xdr:cNvPr id="31746" name="Option Button 2" hidden="1">
              <a:extLst>
                <a:ext uri="{63B3BB69-23CF-44E3-9099-C40C66FF867C}">
                  <a14:compatExt spid="_x0000_s317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466725</xdr:colOff>
          <xdr:row>16</xdr:row>
          <xdr:rowOff>190500</xdr:rowOff>
        </xdr:from>
        <xdr:to>
          <xdr:col>9</xdr:col>
          <xdr:colOff>276225</xdr:colOff>
          <xdr:row>18</xdr:row>
          <xdr:rowOff>47625</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16</xdr:row>
          <xdr:rowOff>133350</xdr:rowOff>
        </xdr:from>
        <xdr:to>
          <xdr:col>14</xdr:col>
          <xdr:colOff>361950</xdr:colOff>
          <xdr:row>18</xdr:row>
          <xdr:rowOff>152400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466725</xdr:colOff>
          <xdr:row>16</xdr:row>
          <xdr:rowOff>190500</xdr:rowOff>
        </xdr:from>
        <xdr:to>
          <xdr:col>9</xdr:col>
          <xdr:colOff>180975</xdr:colOff>
          <xdr:row>18</xdr:row>
          <xdr:rowOff>47625</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16</xdr:row>
          <xdr:rowOff>133350</xdr:rowOff>
        </xdr:from>
        <xdr:to>
          <xdr:col>14</xdr:col>
          <xdr:colOff>400050</xdr:colOff>
          <xdr:row>18</xdr:row>
          <xdr:rowOff>152400</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466725</xdr:colOff>
          <xdr:row>16</xdr:row>
          <xdr:rowOff>190500</xdr:rowOff>
        </xdr:from>
        <xdr:to>
          <xdr:col>9</xdr:col>
          <xdr:colOff>180975</xdr:colOff>
          <xdr:row>18</xdr:row>
          <xdr:rowOff>47625</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16</xdr:row>
          <xdr:rowOff>133350</xdr:rowOff>
        </xdr:from>
        <xdr:to>
          <xdr:col>14</xdr:col>
          <xdr:colOff>619125</xdr:colOff>
          <xdr:row>18</xdr:row>
          <xdr:rowOff>152400</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466725</xdr:colOff>
          <xdr:row>16</xdr:row>
          <xdr:rowOff>190500</xdr:rowOff>
        </xdr:from>
        <xdr:to>
          <xdr:col>9</xdr:col>
          <xdr:colOff>219075</xdr:colOff>
          <xdr:row>18</xdr:row>
          <xdr:rowOff>47625</xdr:rowOff>
        </xdr:to>
        <xdr:sp macro="" textlink="">
          <xdr:nvSpPr>
            <xdr:cNvPr id="32769" name="Option Button 1" hidden="1">
              <a:extLst>
                <a:ext uri="{63B3BB69-23CF-44E3-9099-C40C66FF867C}">
                  <a14:compatExt spid="_x0000_s327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16</xdr:row>
          <xdr:rowOff>133350</xdr:rowOff>
        </xdr:from>
        <xdr:to>
          <xdr:col>14</xdr:col>
          <xdr:colOff>504825</xdr:colOff>
          <xdr:row>18</xdr:row>
          <xdr:rowOff>152400</xdr:rowOff>
        </xdr:to>
        <xdr:sp macro="" textlink="">
          <xdr:nvSpPr>
            <xdr:cNvPr id="32770" name="Option Button 2" hidden="1">
              <a:extLst>
                <a:ext uri="{63B3BB69-23CF-44E3-9099-C40C66FF867C}">
                  <a14:compatExt spid="_x0000_s327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1676400</xdr:colOff>
          <xdr:row>7</xdr:row>
          <xdr:rowOff>19050</xdr:rowOff>
        </xdr:from>
        <xdr:to>
          <xdr:col>3</xdr:col>
          <xdr:colOff>561975</xdr:colOff>
          <xdr:row>7</xdr:row>
          <xdr:rowOff>114300</xdr:rowOff>
        </xdr:to>
        <xdr:sp macro="" textlink="">
          <xdr:nvSpPr>
            <xdr:cNvPr id="47105" name="Option Button 1" hidden="1">
              <a:extLst>
                <a:ext uri="{63B3BB69-23CF-44E3-9099-C40C66FF867C}">
                  <a14:compatExt spid="_x0000_s47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xdr:row>
          <xdr:rowOff>152400</xdr:rowOff>
        </xdr:from>
        <xdr:to>
          <xdr:col>6</xdr:col>
          <xdr:colOff>504825</xdr:colOff>
          <xdr:row>7</xdr:row>
          <xdr:rowOff>161925</xdr:rowOff>
        </xdr:to>
        <xdr:sp macro="" textlink="">
          <xdr:nvSpPr>
            <xdr:cNvPr id="47106" name="Option Button 2" hidden="1">
              <a:extLst>
                <a:ext uri="{63B3BB69-23CF-44E3-9099-C40C66FF867C}">
                  <a14:compatExt spid="_x0000_s47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466725</xdr:colOff>
          <xdr:row>16</xdr:row>
          <xdr:rowOff>190500</xdr:rowOff>
        </xdr:from>
        <xdr:to>
          <xdr:col>9</xdr:col>
          <xdr:colOff>66675</xdr:colOff>
          <xdr:row>18</xdr:row>
          <xdr:rowOff>47625</xdr:rowOff>
        </xdr:to>
        <xdr:sp macro="" textlink="">
          <xdr:nvSpPr>
            <xdr:cNvPr id="6145" name="Option 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16</xdr:row>
          <xdr:rowOff>133350</xdr:rowOff>
        </xdr:from>
        <xdr:to>
          <xdr:col>14</xdr:col>
          <xdr:colOff>495300</xdr:colOff>
          <xdr:row>18</xdr:row>
          <xdr:rowOff>152400</xdr:rowOff>
        </xdr:to>
        <xdr:sp macro="" textlink="">
          <xdr:nvSpPr>
            <xdr:cNvPr id="6146" name="Option Button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466725</xdr:colOff>
          <xdr:row>16</xdr:row>
          <xdr:rowOff>190500</xdr:rowOff>
        </xdr:from>
        <xdr:to>
          <xdr:col>9</xdr:col>
          <xdr:colOff>47625</xdr:colOff>
          <xdr:row>18</xdr:row>
          <xdr:rowOff>47625</xdr:rowOff>
        </xdr:to>
        <xdr:sp macro="" textlink="">
          <xdr:nvSpPr>
            <xdr:cNvPr id="35841" name="Option Button 1" hidden="1">
              <a:extLst>
                <a:ext uri="{63B3BB69-23CF-44E3-9099-C40C66FF867C}">
                  <a14:compatExt spid="_x0000_s358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16</xdr:row>
          <xdr:rowOff>133350</xdr:rowOff>
        </xdr:from>
        <xdr:to>
          <xdr:col>14</xdr:col>
          <xdr:colOff>495300</xdr:colOff>
          <xdr:row>18</xdr:row>
          <xdr:rowOff>152400</xdr:rowOff>
        </xdr:to>
        <xdr:sp macro="" textlink="">
          <xdr:nvSpPr>
            <xdr:cNvPr id="35842" name="Option Button 2" hidden="1">
              <a:extLst>
                <a:ext uri="{63B3BB69-23CF-44E3-9099-C40C66FF867C}">
                  <a14:compatExt spid="_x0000_s358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466725</xdr:colOff>
          <xdr:row>16</xdr:row>
          <xdr:rowOff>190500</xdr:rowOff>
        </xdr:from>
        <xdr:to>
          <xdr:col>9</xdr:col>
          <xdr:colOff>76200</xdr:colOff>
          <xdr:row>18</xdr:row>
          <xdr:rowOff>47625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16</xdr:row>
          <xdr:rowOff>133350</xdr:rowOff>
        </xdr:from>
        <xdr:to>
          <xdr:col>14</xdr:col>
          <xdr:colOff>409575</xdr:colOff>
          <xdr:row>18</xdr:row>
          <xdr:rowOff>152400</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466725</xdr:colOff>
          <xdr:row>16</xdr:row>
          <xdr:rowOff>190500</xdr:rowOff>
        </xdr:from>
        <xdr:to>
          <xdr:col>8</xdr:col>
          <xdr:colOff>85725</xdr:colOff>
          <xdr:row>18</xdr:row>
          <xdr:rowOff>47625</xdr:rowOff>
        </xdr:to>
        <xdr:sp macro="" textlink="">
          <xdr:nvSpPr>
            <xdr:cNvPr id="37889" name="Option Button 1" hidden="1">
              <a:extLst>
                <a:ext uri="{63B3BB69-23CF-44E3-9099-C40C66FF867C}">
                  <a14:compatExt spid="_x0000_s378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16</xdr:row>
          <xdr:rowOff>133350</xdr:rowOff>
        </xdr:from>
        <xdr:to>
          <xdr:col>13</xdr:col>
          <xdr:colOff>1247775</xdr:colOff>
          <xdr:row>18</xdr:row>
          <xdr:rowOff>152400</xdr:rowOff>
        </xdr:to>
        <xdr:sp macro="" textlink="">
          <xdr:nvSpPr>
            <xdr:cNvPr id="37890" name="Option Button 2" hidden="1">
              <a:extLst>
                <a:ext uri="{63B3BB69-23CF-44E3-9099-C40C66FF867C}">
                  <a14:compatExt spid="_x0000_s378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466725</xdr:colOff>
          <xdr:row>16</xdr:row>
          <xdr:rowOff>190500</xdr:rowOff>
        </xdr:from>
        <xdr:to>
          <xdr:col>9</xdr:col>
          <xdr:colOff>542925</xdr:colOff>
          <xdr:row>18</xdr:row>
          <xdr:rowOff>47625</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16</xdr:row>
          <xdr:rowOff>133350</xdr:rowOff>
        </xdr:from>
        <xdr:to>
          <xdr:col>15</xdr:col>
          <xdr:colOff>190500</xdr:colOff>
          <xdr:row>18</xdr:row>
          <xdr:rowOff>152400</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16</xdr:row>
          <xdr:rowOff>171450</xdr:rowOff>
        </xdr:from>
        <xdr:to>
          <xdr:col>9</xdr:col>
          <xdr:colOff>552450</xdr:colOff>
          <xdr:row>18</xdr:row>
          <xdr:rowOff>28575</xdr:rowOff>
        </xdr:to>
        <xdr:sp macro="" textlink="">
          <xdr:nvSpPr>
            <xdr:cNvPr id="9217" name="Option Button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16</xdr:row>
          <xdr:rowOff>114300</xdr:rowOff>
        </xdr:from>
        <xdr:to>
          <xdr:col>15</xdr:col>
          <xdr:colOff>190500</xdr:colOff>
          <xdr:row>18</xdr:row>
          <xdr:rowOff>133350</xdr:rowOff>
        </xdr:to>
        <xdr:sp macro="" textlink="">
          <xdr:nvSpPr>
            <xdr:cNvPr id="9218" name="Option Button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466725</xdr:colOff>
          <xdr:row>16</xdr:row>
          <xdr:rowOff>190500</xdr:rowOff>
        </xdr:from>
        <xdr:to>
          <xdr:col>9</xdr:col>
          <xdr:colOff>542925</xdr:colOff>
          <xdr:row>18</xdr:row>
          <xdr:rowOff>47625</xdr:rowOff>
        </xdr:to>
        <xdr:sp macro="" textlink="">
          <xdr:nvSpPr>
            <xdr:cNvPr id="10241" name="Option 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16</xdr:row>
          <xdr:rowOff>133350</xdr:rowOff>
        </xdr:from>
        <xdr:to>
          <xdr:col>14</xdr:col>
          <xdr:colOff>409575</xdr:colOff>
          <xdr:row>18</xdr:row>
          <xdr:rowOff>152400</xdr:rowOff>
        </xdr:to>
        <xdr:sp macro="" textlink="">
          <xdr:nvSpPr>
            <xdr:cNvPr id="10242" name="Option Button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1685925</xdr:colOff>
          <xdr:row>7</xdr:row>
          <xdr:rowOff>19050</xdr:rowOff>
        </xdr:from>
        <xdr:to>
          <xdr:col>3</xdr:col>
          <xdr:colOff>552450</xdr:colOff>
          <xdr:row>7</xdr:row>
          <xdr:rowOff>114300</xdr:rowOff>
        </xdr:to>
        <xdr:sp macro="" textlink="">
          <xdr:nvSpPr>
            <xdr:cNvPr id="12289" name="Option Button 1" hidden="1">
              <a:extLst>
                <a:ext uri="{63B3BB69-23CF-44E3-9099-C40C66FF867C}">
                  <a14:compatExt spid="_x0000_s12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xdr:row>
          <xdr:rowOff>142875</xdr:rowOff>
        </xdr:from>
        <xdr:to>
          <xdr:col>6</xdr:col>
          <xdr:colOff>514350</xdr:colOff>
          <xdr:row>7</xdr:row>
          <xdr:rowOff>161925</xdr:rowOff>
        </xdr:to>
        <xdr:sp macro="" textlink="">
          <xdr:nvSpPr>
            <xdr:cNvPr id="12290" name="Option Button 2" hidden="1">
              <a:extLst>
                <a:ext uri="{63B3BB69-23CF-44E3-9099-C40C66FF867C}">
                  <a14:compatExt spid="_x0000_s12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1857375</xdr:colOff>
          <xdr:row>7</xdr:row>
          <xdr:rowOff>19050</xdr:rowOff>
        </xdr:from>
        <xdr:to>
          <xdr:col>3</xdr:col>
          <xdr:colOff>333375</xdr:colOff>
          <xdr:row>7</xdr:row>
          <xdr:rowOff>114300</xdr:rowOff>
        </xdr:to>
        <xdr:sp macro="" textlink="">
          <xdr:nvSpPr>
            <xdr:cNvPr id="13313" name="Option Button 1" hidden="1">
              <a:extLst>
                <a:ext uri="{63B3BB69-23CF-44E3-9099-C40C66FF867C}">
                  <a14:compatExt spid="_x0000_s13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xdr:row>
          <xdr:rowOff>142875</xdr:rowOff>
        </xdr:from>
        <xdr:to>
          <xdr:col>6</xdr:col>
          <xdr:colOff>323850</xdr:colOff>
          <xdr:row>7</xdr:row>
          <xdr:rowOff>161925</xdr:rowOff>
        </xdr:to>
        <xdr:sp macro="" textlink="">
          <xdr:nvSpPr>
            <xdr:cNvPr id="13314" name="Option Button 2" hidden="1">
              <a:extLst>
                <a:ext uri="{63B3BB69-23CF-44E3-9099-C40C66FF867C}">
                  <a14:compatExt spid="_x0000_s13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16</xdr:row>
          <xdr:rowOff>171450</xdr:rowOff>
        </xdr:from>
        <xdr:to>
          <xdr:col>9</xdr:col>
          <xdr:colOff>476250</xdr:colOff>
          <xdr:row>18</xdr:row>
          <xdr:rowOff>28575</xdr:rowOff>
        </xdr:to>
        <xdr:sp macro="" textlink="">
          <xdr:nvSpPr>
            <xdr:cNvPr id="97281" name="Option Button 1" hidden="1">
              <a:extLst>
                <a:ext uri="{63B3BB69-23CF-44E3-9099-C40C66FF867C}">
                  <a14:compatExt spid="_x0000_s97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16</xdr:row>
          <xdr:rowOff>114300</xdr:rowOff>
        </xdr:from>
        <xdr:to>
          <xdr:col>15</xdr:col>
          <xdr:colOff>247650</xdr:colOff>
          <xdr:row>18</xdr:row>
          <xdr:rowOff>133350</xdr:rowOff>
        </xdr:to>
        <xdr:sp macro="" textlink="">
          <xdr:nvSpPr>
            <xdr:cNvPr id="97282" name="Option Button 2" hidden="1">
              <a:extLst>
                <a:ext uri="{63B3BB69-23CF-44E3-9099-C40C66FF867C}">
                  <a14:compatExt spid="_x0000_s972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16</xdr:row>
          <xdr:rowOff>171450</xdr:rowOff>
        </xdr:from>
        <xdr:to>
          <xdr:col>9</xdr:col>
          <xdr:colOff>476250</xdr:colOff>
          <xdr:row>18</xdr:row>
          <xdr:rowOff>28575</xdr:rowOff>
        </xdr:to>
        <xdr:sp macro="" textlink="">
          <xdr:nvSpPr>
            <xdr:cNvPr id="96257" name="Option Button 1" hidden="1">
              <a:extLst>
                <a:ext uri="{63B3BB69-23CF-44E3-9099-C40C66FF867C}">
                  <a14:compatExt spid="_x0000_s96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16</xdr:row>
          <xdr:rowOff>114300</xdr:rowOff>
        </xdr:from>
        <xdr:to>
          <xdr:col>15</xdr:col>
          <xdr:colOff>247650</xdr:colOff>
          <xdr:row>18</xdr:row>
          <xdr:rowOff>133350</xdr:rowOff>
        </xdr:to>
        <xdr:sp macro="" textlink="">
          <xdr:nvSpPr>
            <xdr:cNvPr id="96258" name="Option Button 2" hidden="1">
              <a:extLst>
                <a:ext uri="{63B3BB69-23CF-44E3-9099-C40C66FF867C}">
                  <a14:compatExt spid="_x0000_s96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16</xdr:row>
          <xdr:rowOff>171450</xdr:rowOff>
        </xdr:from>
        <xdr:to>
          <xdr:col>9</xdr:col>
          <xdr:colOff>476250</xdr:colOff>
          <xdr:row>18</xdr:row>
          <xdr:rowOff>28575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16</xdr:row>
          <xdr:rowOff>114300</xdr:rowOff>
        </xdr:from>
        <xdr:to>
          <xdr:col>15</xdr:col>
          <xdr:colOff>247650</xdr:colOff>
          <xdr:row>18</xdr:row>
          <xdr:rowOff>133350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1676400</xdr:colOff>
          <xdr:row>7</xdr:row>
          <xdr:rowOff>19050</xdr:rowOff>
        </xdr:from>
        <xdr:to>
          <xdr:col>3</xdr:col>
          <xdr:colOff>561975</xdr:colOff>
          <xdr:row>7</xdr:row>
          <xdr:rowOff>114300</xdr:rowOff>
        </xdr:to>
        <xdr:sp macro="" textlink="">
          <xdr:nvSpPr>
            <xdr:cNvPr id="14337" name="Option Button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6</xdr:row>
          <xdr:rowOff>152400</xdr:rowOff>
        </xdr:from>
        <xdr:to>
          <xdr:col>6</xdr:col>
          <xdr:colOff>590550</xdr:colOff>
          <xdr:row>7</xdr:row>
          <xdr:rowOff>161925</xdr:rowOff>
        </xdr:to>
        <xdr:sp macro="" textlink="">
          <xdr:nvSpPr>
            <xdr:cNvPr id="14338" name="Option Button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476250</xdr:colOff>
          <xdr:row>16</xdr:row>
          <xdr:rowOff>171450</xdr:rowOff>
        </xdr:from>
        <xdr:to>
          <xdr:col>9</xdr:col>
          <xdr:colOff>476250</xdr:colOff>
          <xdr:row>18</xdr:row>
          <xdr:rowOff>28575</xdr:rowOff>
        </xdr:to>
        <xdr:sp macro="" textlink="">
          <xdr:nvSpPr>
            <xdr:cNvPr id="15361" name="Option Button 1"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16</xdr:row>
          <xdr:rowOff>114300</xdr:rowOff>
        </xdr:from>
        <xdr:to>
          <xdr:col>15</xdr:col>
          <xdr:colOff>219075</xdr:colOff>
          <xdr:row>18</xdr:row>
          <xdr:rowOff>133350</xdr:rowOff>
        </xdr:to>
        <xdr:sp macro="" textlink="">
          <xdr:nvSpPr>
            <xdr:cNvPr id="15362" name="Option Button 2"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20Department/Department%20Applications/Application%20Review%20Process/Rec%20#1 - Application Filing Requirements/Testing Protocols for Models and Appendices/2014 IRM Rate Generator_V2.3_FOR 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Admin/2015_Filing_Requirements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 2-Z_Tariff"/>
      <sheetName val="App. 2-Z_Tariff (2016)"/>
      <sheetName val="App. 2-Z_Tariff (2017)"/>
      <sheetName val="App. 2-Z_Tariff (2018)"/>
      <sheetName val="App. 2-Z_Tariff (2019)"/>
      <sheetName val="App. 2-Z_Tariff (2020)"/>
      <sheetName val="lists"/>
      <sheetName val="lists2"/>
      <sheetName val="Sheet19"/>
      <sheetName val="Sheet1"/>
      <sheetName val="App.2-W_Bill Impacts Res 2016"/>
      <sheetName val="App.2-Y_MIFRS Summary Impacts"/>
      <sheetName val="App.2-V_Rev_Reconciliation"/>
      <sheetName val="App.2-W_Bill Impacts"/>
    </sheetNames>
    <sheetDataSet>
      <sheetData sheetId="0">
        <row r="16">
          <cell r="E16" t="str">
            <v>EB-2015-0004</v>
          </cell>
        </row>
        <row r="24">
          <cell r="E24">
            <v>2016</v>
          </cell>
        </row>
        <row r="26">
          <cell r="E26">
            <v>2015</v>
          </cell>
        </row>
        <row r="28">
          <cell r="E28">
            <v>2012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refreshError="1"/>
      <sheetData sheetId="69"/>
      <sheetData sheetId="70"/>
      <sheetData sheetId="71"/>
      <sheetData sheetId="72"/>
      <sheetData sheetId="73"/>
      <sheetData sheetId="7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75" refreshError="1"/>
      <sheetData sheetId="76" refreshError="1"/>
      <sheetData sheetId="77" refreshError="1"/>
      <sheetData sheetId="78"/>
      <sheetData sheetId="79" refreshError="1"/>
      <sheetData sheetId="80" refreshError="1"/>
      <sheetData sheetId="8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omments" Target="../comments8.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omments" Target="../comments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mments" Target="../comments10.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omments" Target="../comments11.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omments" Target="../comments12.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6" Type="http://schemas.openxmlformats.org/officeDocument/2006/relationships/comments" Target="../comments13.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6" Type="http://schemas.openxmlformats.org/officeDocument/2006/relationships/comments" Target="../comments14.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7.bin"/><Relationship Id="rId6" Type="http://schemas.openxmlformats.org/officeDocument/2006/relationships/comments" Target="../comments15.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8.bin"/><Relationship Id="rId6" Type="http://schemas.openxmlformats.org/officeDocument/2006/relationships/comments" Target="../comments16.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9.bin"/><Relationship Id="rId6" Type="http://schemas.openxmlformats.org/officeDocument/2006/relationships/comments" Target="../comments17.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0.bin"/><Relationship Id="rId6" Type="http://schemas.openxmlformats.org/officeDocument/2006/relationships/comments" Target="../comments18.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1.bin"/><Relationship Id="rId6" Type="http://schemas.openxmlformats.org/officeDocument/2006/relationships/comments" Target="../comments1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2.bin"/><Relationship Id="rId6" Type="http://schemas.openxmlformats.org/officeDocument/2006/relationships/comments" Target="../comments20.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3.bin"/><Relationship Id="rId6" Type="http://schemas.openxmlformats.org/officeDocument/2006/relationships/comments" Target="../comments21.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4.bin"/><Relationship Id="rId6" Type="http://schemas.openxmlformats.org/officeDocument/2006/relationships/comments" Target="../comments22.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5.bin"/><Relationship Id="rId6" Type="http://schemas.openxmlformats.org/officeDocument/2006/relationships/comments" Target="../comments23.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6.bin"/><Relationship Id="rId6" Type="http://schemas.openxmlformats.org/officeDocument/2006/relationships/comments" Target="../comments24.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7.bin"/><Relationship Id="rId6" Type="http://schemas.openxmlformats.org/officeDocument/2006/relationships/comments" Target="../comments25.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8.bin"/><Relationship Id="rId6" Type="http://schemas.openxmlformats.org/officeDocument/2006/relationships/comments" Target="../comments26.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omments" Target="../comments7.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88"/>
  <sheetViews>
    <sheetView view="pageBreakPreview" zoomScale="70" zoomScaleNormal="70" zoomScaleSheetLayoutView="70" workbookViewId="0">
      <selection activeCell="C26" sqref="C26"/>
    </sheetView>
  </sheetViews>
  <sheetFormatPr defaultRowHeight="15" x14ac:dyDescent="0.25"/>
  <cols>
    <col min="1" max="1" width="1.85546875" style="171" customWidth="1"/>
    <col min="2" max="2" width="22" style="171" customWidth="1"/>
    <col min="3" max="3" width="33.85546875" style="171" customWidth="1"/>
    <col min="4" max="4" width="15.85546875" style="171" customWidth="1"/>
    <col min="5" max="5" width="21.28515625" style="171" customWidth="1"/>
    <col min="6" max="6" width="1.7109375" style="171" customWidth="1"/>
    <col min="7" max="16384" width="9.140625" style="171"/>
  </cols>
  <sheetData>
    <row r="1" spans="2:5" ht="6.75" customHeight="1" x14ac:dyDescent="0.25"/>
    <row r="2" spans="2:5" ht="6.75" customHeight="1" x14ac:dyDescent="0.25"/>
    <row r="3" spans="2:5" ht="6.75" customHeight="1" x14ac:dyDescent="0.25"/>
    <row r="4" spans="2:5" ht="6.75" customHeight="1" x14ac:dyDescent="0.25"/>
    <row r="5" spans="2:5" ht="18" x14ac:dyDescent="0.25">
      <c r="C5" s="167" t="s">
        <v>137</v>
      </c>
    </row>
    <row r="6" spans="2:5" ht="18" x14ac:dyDescent="0.25">
      <c r="C6" s="167" t="s">
        <v>0</v>
      </c>
    </row>
    <row r="7" spans="2:5" ht="6.75" customHeight="1" x14ac:dyDescent="0.25"/>
    <row r="8" spans="2:5" ht="6.75" customHeight="1" thickBot="1" x14ac:dyDescent="0.3"/>
    <row r="9" spans="2:5" ht="15.75" thickBot="1" x14ac:dyDescent="0.3">
      <c r="B9" s="260" t="s">
        <v>123</v>
      </c>
      <c r="C9" s="261"/>
      <c r="D9" s="261"/>
      <c r="E9" s="261"/>
    </row>
    <row r="10" spans="2:5" ht="49.5" customHeight="1" thickBot="1" x14ac:dyDescent="0.3">
      <c r="B10" s="200" t="s">
        <v>66</v>
      </c>
      <c r="C10" s="172"/>
      <c r="D10" s="172" t="s">
        <v>124</v>
      </c>
      <c r="E10" s="172" t="s">
        <v>8</v>
      </c>
    </row>
    <row r="11" spans="2:5" ht="15" customHeight="1" x14ac:dyDescent="0.25">
      <c r="B11" s="257" t="s">
        <v>67</v>
      </c>
      <c r="C11" s="229" t="s">
        <v>68</v>
      </c>
      <c r="D11" s="190">
        <f>+'Res (800)'!H23+'Res (800)'!H29</f>
        <v>28.400000000000002</v>
      </c>
      <c r="E11" s="191">
        <f>+'Res (800)'!L23+'Res (800)'!L29</f>
        <v>28.68</v>
      </c>
    </row>
    <row r="12" spans="2:5" x14ac:dyDescent="0.25">
      <c r="B12" s="258"/>
      <c r="C12" s="230" t="s">
        <v>69</v>
      </c>
      <c r="D12" s="192"/>
      <c r="E12" s="193">
        <f>+'Res (800)'!N23+'Res (800)'!N29</f>
        <v>0.27999999999999936</v>
      </c>
    </row>
    <row r="13" spans="2:5" x14ac:dyDescent="0.25">
      <c r="B13" s="258"/>
      <c r="C13" s="231" t="s">
        <v>70</v>
      </c>
      <c r="D13" s="194"/>
      <c r="E13" s="195">
        <f>E12/D11</f>
        <v>9.8591549295774412E-3</v>
      </c>
    </row>
    <row r="14" spans="2:5" x14ac:dyDescent="0.25">
      <c r="B14" s="258"/>
      <c r="C14" s="231" t="s">
        <v>71</v>
      </c>
      <c r="D14" s="194"/>
      <c r="E14" s="196">
        <f>'Res (800)'!O75</f>
        <v>2.4182748321074634E-3</v>
      </c>
    </row>
    <row r="15" spans="2:5" ht="15.75" thickBot="1" x14ac:dyDescent="0.3">
      <c r="B15" s="259"/>
      <c r="C15" s="232" t="s">
        <v>72</v>
      </c>
      <c r="D15" s="197"/>
      <c r="E15" s="198">
        <f>'Res (800)'!O63</f>
        <v>-3.9656243112200836E-5</v>
      </c>
    </row>
    <row r="16" spans="2:5" x14ac:dyDescent="0.25">
      <c r="B16" s="257" t="s">
        <v>125</v>
      </c>
      <c r="C16" s="229" t="s">
        <v>68</v>
      </c>
      <c r="D16" s="190">
        <f>+'Res (750)'!H23+'Res (750)'!H29</f>
        <v>27.435000000000002</v>
      </c>
      <c r="E16" s="191">
        <f>+'Res (750)'!L23+'Res (750)'!L29</f>
        <v>27.925000000000004</v>
      </c>
    </row>
    <row r="17" spans="2:5" x14ac:dyDescent="0.25">
      <c r="B17" s="258"/>
      <c r="C17" s="230" t="s">
        <v>69</v>
      </c>
      <c r="D17" s="192"/>
      <c r="E17" s="193">
        <f>+'Res (750)'!N23+'Res (750)'!N29</f>
        <v>0.49000000000000021</v>
      </c>
    </row>
    <row r="18" spans="2:5" x14ac:dyDescent="0.25">
      <c r="B18" s="258"/>
      <c r="C18" s="231" t="s">
        <v>70</v>
      </c>
      <c r="D18" s="194"/>
      <c r="E18" s="195">
        <f>E17/D16</f>
        <v>1.7860397302715516E-2</v>
      </c>
    </row>
    <row r="19" spans="2:5" x14ac:dyDescent="0.25">
      <c r="B19" s="258"/>
      <c r="C19" s="231" t="s">
        <v>71</v>
      </c>
      <c r="D19" s="194"/>
      <c r="E19" s="196">
        <f>'Res (750)'!O75</f>
        <v>4.164690122569076E-3</v>
      </c>
    </row>
    <row r="20" spans="2:5" ht="15.75" thickBot="1" x14ac:dyDescent="0.3">
      <c r="B20" s="259"/>
      <c r="C20" s="232" t="s">
        <v>72</v>
      </c>
      <c r="D20" s="197"/>
      <c r="E20" s="198">
        <f>'Res (750)'!O63</f>
        <v>1.5964786801431472E-3</v>
      </c>
    </row>
    <row r="21" spans="2:5" x14ac:dyDescent="0.25">
      <c r="B21" s="257" t="s">
        <v>126</v>
      </c>
      <c r="C21" s="229" t="s">
        <v>68</v>
      </c>
      <c r="D21" s="190">
        <f>+'Res (640)'!H23+'Res (640)'!H29</f>
        <v>25.312000000000001</v>
      </c>
      <c r="E21" s="191">
        <f>+'Res (640)'!L23+'Res (640)'!L29</f>
        <v>26.264000000000003</v>
      </c>
    </row>
    <row r="22" spans="2:5" x14ac:dyDescent="0.25">
      <c r="B22" s="258"/>
      <c r="C22" s="230" t="s">
        <v>69</v>
      </c>
      <c r="D22" s="192"/>
      <c r="E22" s="193">
        <f>+'Res (640)'!N23+'Res (640)'!N29</f>
        <v>0.95199999999999996</v>
      </c>
    </row>
    <row r="23" spans="2:5" x14ac:dyDescent="0.25">
      <c r="B23" s="258"/>
      <c r="C23" s="231" t="s">
        <v>70</v>
      </c>
      <c r="D23" s="194"/>
      <c r="E23" s="195">
        <f>E22/D21</f>
        <v>3.7610619469026545E-2</v>
      </c>
    </row>
    <row r="24" spans="2:5" x14ac:dyDescent="0.25">
      <c r="B24" s="258"/>
      <c r="C24" s="231" t="s">
        <v>71</v>
      </c>
      <c r="D24" s="194"/>
      <c r="E24" s="196">
        <f>'Res (640)'!O75</f>
        <v>8.8474592593555355E-3</v>
      </c>
    </row>
    <row r="25" spans="2:5" ht="15.75" thickBot="1" x14ac:dyDescent="0.3">
      <c r="B25" s="259"/>
      <c r="C25" s="232" t="s">
        <v>72</v>
      </c>
      <c r="D25" s="197"/>
      <c r="E25" s="198">
        <f>'Res (640)'!O63</f>
        <v>5.97975078384587E-3</v>
      </c>
    </row>
    <row r="26" spans="2:5" x14ac:dyDescent="0.25">
      <c r="B26" s="257" t="s">
        <v>104</v>
      </c>
      <c r="C26" s="229" t="s">
        <v>68</v>
      </c>
      <c r="D26" s="190">
        <f>+'Res (232)'!H23+'Res (232)'!H29</f>
        <v>17.437600000000003</v>
      </c>
      <c r="E26" s="191">
        <f>+'Res (232)'!L23+'Res (232)'!L29</f>
        <v>20.103200000000001</v>
      </c>
    </row>
    <row r="27" spans="2:5" x14ac:dyDescent="0.25">
      <c r="B27" s="258"/>
      <c r="C27" s="230" t="s">
        <v>69</v>
      </c>
      <c r="D27" s="192"/>
      <c r="E27" s="193">
        <f>+'Res (232)'!N23+'Res (232)'!N29</f>
        <v>2.6656</v>
      </c>
    </row>
    <row r="28" spans="2:5" x14ac:dyDescent="0.25">
      <c r="B28" s="258"/>
      <c r="C28" s="231" t="s">
        <v>70</v>
      </c>
      <c r="D28" s="194"/>
      <c r="E28" s="195">
        <f>E27/D26</f>
        <v>0.15286507317520756</v>
      </c>
    </row>
    <row r="29" spans="2:5" x14ac:dyDescent="0.25">
      <c r="B29" s="258"/>
      <c r="C29" s="231" t="s">
        <v>71</v>
      </c>
      <c r="D29" s="194"/>
      <c r="E29" s="196">
        <f>'Res (232)'!O75</f>
        <v>5.4048461081311124E-2</v>
      </c>
    </row>
    <row r="30" spans="2:5" ht="15.75" thickBot="1" x14ac:dyDescent="0.3">
      <c r="B30" s="259"/>
      <c r="C30" s="232" t="s">
        <v>72</v>
      </c>
      <c r="D30" s="197"/>
      <c r="E30" s="198">
        <f>'Res (232)'!O63</f>
        <v>4.8007515052037361E-2</v>
      </c>
    </row>
    <row r="31" spans="2:5" ht="15" customHeight="1" x14ac:dyDescent="0.25">
      <c r="B31" s="257" t="s">
        <v>73</v>
      </c>
      <c r="C31" s="229" t="s">
        <v>68</v>
      </c>
      <c r="D31" s="190">
        <f>+'SC (2000)'!H23+'SC (2000)'!H29</f>
        <v>60.430000000000007</v>
      </c>
      <c r="E31" s="191">
        <f>+'SC (2000)'!L23+'SC (2000)'!L29</f>
        <v>63.290000000000006</v>
      </c>
    </row>
    <row r="32" spans="2:5" x14ac:dyDescent="0.25">
      <c r="B32" s="258"/>
      <c r="C32" s="230" t="s">
        <v>69</v>
      </c>
      <c r="D32" s="192"/>
      <c r="E32" s="193">
        <f>+'SC (2000)'!N23+'SC (2000)'!N29</f>
        <v>2.860000000000003</v>
      </c>
    </row>
    <row r="33" spans="2:5" x14ac:dyDescent="0.25">
      <c r="B33" s="258"/>
      <c r="C33" s="231" t="s">
        <v>70</v>
      </c>
      <c r="D33" s="194"/>
      <c r="E33" s="195">
        <f>E32/D31</f>
        <v>4.7327486347840522E-2</v>
      </c>
    </row>
    <row r="34" spans="2:5" x14ac:dyDescent="0.25">
      <c r="B34" s="258"/>
      <c r="C34" s="231" t="s">
        <v>71</v>
      </c>
      <c r="D34" s="194"/>
      <c r="E34" s="196">
        <f>'SC (2000)'!O76</f>
        <v>9.4062931732471541E-3</v>
      </c>
    </row>
    <row r="35" spans="2:5" ht="15.75" thickBot="1" x14ac:dyDescent="0.3">
      <c r="B35" s="259"/>
      <c r="C35" s="232" t="s">
        <v>72</v>
      </c>
      <c r="D35" s="197"/>
      <c r="E35" s="198">
        <f>'SC (2000)'!O64</f>
        <v>8.0334446189023519E-3</v>
      </c>
    </row>
    <row r="36" spans="2:5" ht="15" customHeight="1" x14ac:dyDescent="0.25">
      <c r="B36" s="257" t="s">
        <v>74</v>
      </c>
      <c r="C36" s="229" t="s">
        <v>68</v>
      </c>
      <c r="D36" s="190">
        <f>+'&gt;50 (250)'!H23+'&gt;50 (250)'!H29</f>
        <v>1217.6500000000001</v>
      </c>
      <c r="E36" s="191">
        <f>+'&gt;50 (250)'!L23+'&gt;50 (250)'!L29</f>
        <v>1281.125</v>
      </c>
    </row>
    <row r="37" spans="2:5" x14ac:dyDescent="0.25">
      <c r="B37" s="258"/>
      <c r="C37" s="230" t="s">
        <v>69</v>
      </c>
      <c r="D37" s="192"/>
      <c r="E37" s="193">
        <f>+'&gt;50 (250)'!N23+'&gt;50 (250)'!N29</f>
        <v>63.475000000000023</v>
      </c>
    </row>
    <row r="38" spans="2:5" x14ac:dyDescent="0.25">
      <c r="B38" s="258"/>
      <c r="C38" s="231" t="s">
        <v>70</v>
      </c>
      <c r="D38" s="194"/>
      <c r="E38" s="195">
        <f>E37/D36</f>
        <v>5.2129101137436878E-2</v>
      </c>
    </row>
    <row r="39" spans="2:5" x14ac:dyDescent="0.25">
      <c r="B39" s="258"/>
      <c r="C39" s="231" t="s">
        <v>71</v>
      </c>
      <c r="D39" s="194"/>
      <c r="E39" s="196">
        <f>'&gt;50 (250)'!O77</f>
        <v>4.3184477828582171E-3</v>
      </c>
    </row>
    <row r="40" spans="2:5" ht="15.75" thickBot="1" x14ac:dyDescent="0.3">
      <c r="B40" s="259"/>
      <c r="C40" s="232" t="s">
        <v>72</v>
      </c>
      <c r="D40" s="197"/>
      <c r="E40" s="198">
        <f>'&gt;50 (250)'!O65</f>
        <v>-2.7175266757792714E-2</v>
      </c>
    </row>
    <row r="41" spans="2:5" ht="15" customHeight="1" x14ac:dyDescent="0.25">
      <c r="B41" s="257" t="s">
        <v>75</v>
      </c>
      <c r="C41" s="229" t="s">
        <v>68</v>
      </c>
      <c r="D41" s="190">
        <f>+'&gt;1500(2500)'!H23+'&gt;1500(2500)'!H29</f>
        <v>13329.18</v>
      </c>
      <c r="E41" s="191">
        <f>+'&gt;1500(2500)'!L23+'&gt;1500(2500)'!L29</f>
        <v>13989.18</v>
      </c>
    </row>
    <row r="42" spans="2:5" x14ac:dyDescent="0.25">
      <c r="B42" s="258"/>
      <c r="C42" s="230" t="s">
        <v>69</v>
      </c>
      <c r="D42" s="192"/>
      <c r="E42" s="193">
        <f>+'&gt;1500(2500)'!N23+'&gt;1500(2500)'!N29</f>
        <v>660</v>
      </c>
    </row>
    <row r="43" spans="2:5" x14ac:dyDescent="0.25">
      <c r="B43" s="258"/>
      <c r="C43" s="231" t="s">
        <v>70</v>
      </c>
      <c r="D43" s="194"/>
      <c r="E43" s="195">
        <f>E42/D41</f>
        <v>4.9515424054593006E-2</v>
      </c>
    </row>
    <row r="44" spans="2:5" x14ac:dyDescent="0.25">
      <c r="B44" s="258"/>
      <c r="C44" s="231" t="s">
        <v>71</v>
      </c>
      <c r="D44" s="194"/>
      <c r="E44" s="196">
        <f>'&gt;1500(2500)'!O77</f>
        <v>4.3746307297558816E-3</v>
      </c>
    </row>
    <row r="45" spans="2:5" ht="15.75" thickBot="1" x14ac:dyDescent="0.3">
      <c r="B45" s="259"/>
      <c r="C45" s="232" t="s">
        <v>72</v>
      </c>
      <c r="D45" s="197"/>
      <c r="E45" s="198">
        <f>'&gt;1500(2500)'!O65</f>
        <v>-2.6636887313177603E-2</v>
      </c>
    </row>
    <row r="46" spans="2:5" ht="15" customHeight="1" x14ac:dyDescent="0.25">
      <c r="B46" s="257" t="s">
        <v>76</v>
      </c>
      <c r="C46" s="229" t="s">
        <v>68</v>
      </c>
      <c r="D46" s="190">
        <f>+'LU(7500)'!H23+'LU(7500)'!H29</f>
        <v>41287.82</v>
      </c>
      <c r="E46" s="191">
        <f>+'LU(7500)'!L23+'LU(7500)'!L29</f>
        <v>43130.57</v>
      </c>
    </row>
    <row r="47" spans="2:5" x14ac:dyDescent="0.25">
      <c r="B47" s="258"/>
      <c r="C47" s="230" t="s">
        <v>69</v>
      </c>
      <c r="D47" s="192"/>
      <c r="E47" s="193">
        <f>+'LU(7500)'!N23+'LU(7500)'!N29</f>
        <v>1842.75</v>
      </c>
    </row>
    <row r="48" spans="2:5" x14ac:dyDescent="0.25">
      <c r="B48" s="258"/>
      <c r="C48" s="231" t="s">
        <v>70</v>
      </c>
      <c r="D48" s="194"/>
      <c r="E48" s="195">
        <f>E47/D46</f>
        <v>4.4631806668407291E-2</v>
      </c>
    </row>
    <row r="49" spans="1:5" x14ac:dyDescent="0.25">
      <c r="B49" s="258"/>
      <c r="C49" s="231" t="s">
        <v>71</v>
      </c>
      <c r="D49" s="194"/>
      <c r="E49" s="196">
        <f>'LU(7500)'!O77</f>
        <v>4.0113695045192327E-3</v>
      </c>
    </row>
    <row r="50" spans="1:5" ht="15.75" thickBot="1" x14ac:dyDescent="0.3">
      <c r="B50" s="259"/>
      <c r="C50" s="232" t="s">
        <v>72</v>
      </c>
      <c r="D50" s="197"/>
      <c r="E50" s="198">
        <f>'LU(7500)'!O65</f>
        <v>-2.7648084771392998E-2</v>
      </c>
    </row>
    <row r="51" spans="1:5" ht="15" customHeight="1" x14ac:dyDescent="0.25">
      <c r="B51" s="257" t="s">
        <v>77</v>
      </c>
      <c r="C51" s="229" t="s">
        <v>68</v>
      </c>
      <c r="D51" s="190">
        <f>+'SN (.4)'!H23+'SN (.4)'!H29</f>
        <v>7.5399200000000004</v>
      </c>
      <c r="E51" s="191">
        <f>+'SN (.4)'!L23+'SN (.4)'!L29</f>
        <v>7.951760000000001</v>
      </c>
    </row>
    <row r="52" spans="1:5" x14ac:dyDescent="0.25">
      <c r="B52" s="258"/>
      <c r="C52" s="230" t="s">
        <v>69</v>
      </c>
      <c r="D52" s="192"/>
      <c r="E52" s="193">
        <f>+'SN (.4)'!N23+'SN (.4)'!N29</f>
        <v>0.41184000000000021</v>
      </c>
    </row>
    <row r="53" spans="1:5" x14ac:dyDescent="0.25">
      <c r="A53" s="176"/>
      <c r="B53" s="258"/>
      <c r="C53" s="231" t="s">
        <v>70</v>
      </c>
      <c r="D53" s="194"/>
      <c r="E53" s="195">
        <f>E52/D51</f>
        <v>5.4621269191185075E-2</v>
      </c>
    </row>
    <row r="54" spans="1:5" x14ac:dyDescent="0.25">
      <c r="B54" s="258"/>
      <c r="C54" s="231" t="s">
        <v>71</v>
      </c>
      <c r="D54" s="194"/>
      <c r="E54" s="196">
        <f>'SN (.4)'!O77</f>
        <v>1.9645009233474835E-2</v>
      </c>
    </row>
    <row r="55" spans="1:5" ht="15.75" thickBot="1" x14ac:dyDescent="0.3">
      <c r="B55" s="259"/>
      <c r="C55" s="232" t="s">
        <v>72</v>
      </c>
      <c r="D55" s="197"/>
      <c r="E55" s="198">
        <f>'SN (.4)'!O65</f>
        <v>2.0053496258912357E-2</v>
      </c>
    </row>
    <row r="56" spans="1:5" ht="15" customHeight="1" x14ac:dyDescent="0.25">
      <c r="B56" s="257" t="s">
        <v>78</v>
      </c>
      <c r="C56" s="229" t="s">
        <v>68</v>
      </c>
      <c r="D56" s="190">
        <f>+'StLght (1.5)'!H23+'StLght (1.5)'!H29</f>
        <v>6.0670999999999999</v>
      </c>
      <c r="E56" s="191">
        <f>+'StLght (1.5)'!L23+'StLght (1.5)'!L29</f>
        <v>6.4500999999999999</v>
      </c>
    </row>
    <row r="57" spans="1:5" x14ac:dyDescent="0.25">
      <c r="B57" s="258"/>
      <c r="C57" s="230" t="s">
        <v>69</v>
      </c>
      <c r="D57" s="192"/>
      <c r="E57" s="193">
        <f>+'StLght (1.5)'!N23+'StLght (1.5)'!N29</f>
        <v>0.38300000000000023</v>
      </c>
    </row>
    <row r="58" spans="1:5" x14ac:dyDescent="0.25">
      <c r="A58" s="176"/>
      <c r="B58" s="258"/>
      <c r="C58" s="231" t="s">
        <v>70</v>
      </c>
      <c r="D58" s="194"/>
      <c r="E58" s="195">
        <f>E57/D56</f>
        <v>6.3127359034794259E-2</v>
      </c>
    </row>
    <row r="59" spans="1:5" x14ac:dyDescent="0.25">
      <c r="B59" s="258"/>
      <c r="C59" s="231" t="s">
        <v>71</v>
      </c>
      <c r="D59" s="194"/>
      <c r="E59" s="196">
        <f>'StLght (1.5)'!O77</f>
        <v>1.2838919296174542E-2</v>
      </c>
    </row>
    <row r="60" spans="1:5" ht="15.75" thickBot="1" x14ac:dyDescent="0.3">
      <c r="B60" s="259"/>
      <c r="C60" s="232" t="s">
        <v>72</v>
      </c>
      <c r="D60" s="197"/>
      <c r="E60" s="198">
        <f>'StLght (1.5)'!O65</f>
        <v>-2.6190480528131077E-3</v>
      </c>
    </row>
    <row r="61" spans="1:5" x14ac:dyDescent="0.25">
      <c r="B61" s="257" t="s">
        <v>79</v>
      </c>
      <c r="C61" s="229" t="s">
        <v>68</v>
      </c>
      <c r="D61" s="190">
        <f>+'USL (470)'!H23+'USL (470)'!H29</f>
        <v>14.712999999999999</v>
      </c>
      <c r="E61" s="191">
        <f>+'USL (470)'!L23+'USL (470)'!L29</f>
        <v>15.222</v>
      </c>
    </row>
    <row r="62" spans="1:5" x14ac:dyDescent="0.25">
      <c r="A62" s="176"/>
      <c r="B62" s="258"/>
      <c r="C62" s="230" t="s">
        <v>69</v>
      </c>
      <c r="D62" s="192"/>
      <c r="E62" s="193">
        <f>+'USL (470)'!N23+'USL (470)'!N29</f>
        <v>0.50900000000000034</v>
      </c>
    </row>
    <row r="63" spans="1:5" x14ac:dyDescent="0.25">
      <c r="B63" s="258"/>
      <c r="C63" s="231" t="s">
        <v>70</v>
      </c>
      <c r="D63" s="194"/>
      <c r="E63" s="195">
        <f>E62/D61</f>
        <v>3.4595255896146287E-2</v>
      </c>
    </row>
    <row r="64" spans="1:5" x14ac:dyDescent="0.25">
      <c r="B64" s="258"/>
      <c r="C64" s="231" t="s">
        <v>71</v>
      </c>
      <c r="D64" s="194"/>
      <c r="E64" s="196">
        <f>'USL (470)'!O77</f>
        <v>7.3278140035889922E-3</v>
      </c>
    </row>
    <row r="65" spans="2:6" ht="15.75" thickBot="1" x14ac:dyDescent="0.3">
      <c r="B65" s="259"/>
      <c r="C65" s="232" t="s">
        <v>72</v>
      </c>
      <c r="D65" s="197"/>
      <c r="E65" s="198">
        <f>'USL (470)'!O65</f>
        <v>1.0608350159432315E-2</v>
      </c>
    </row>
    <row r="66" spans="2:6" ht="3.75" customHeight="1" x14ac:dyDescent="0.25">
      <c r="B66" s="228"/>
      <c r="C66" s="228"/>
      <c r="D66" s="228"/>
      <c r="E66" s="228"/>
    </row>
    <row r="68" spans="2:6" x14ac:dyDescent="0.25">
      <c r="C68" s="173"/>
      <c r="E68" s="174"/>
      <c r="F68" s="175"/>
    </row>
    <row r="70" spans="2:6" x14ac:dyDescent="0.25">
      <c r="E70" s="175"/>
      <c r="F70" s="175"/>
    </row>
    <row r="71" spans="2:6" x14ac:dyDescent="0.25">
      <c r="E71" s="175"/>
      <c r="F71" s="175"/>
    </row>
    <row r="72" spans="2:6" x14ac:dyDescent="0.25">
      <c r="E72" s="175"/>
      <c r="F72" s="175"/>
    </row>
    <row r="73" spans="2:6" x14ac:dyDescent="0.25">
      <c r="E73" s="175"/>
      <c r="F73" s="175"/>
    </row>
    <row r="74" spans="2:6" x14ac:dyDescent="0.25">
      <c r="E74" s="175"/>
      <c r="F74" s="175"/>
    </row>
    <row r="75" spans="2:6" x14ac:dyDescent="0.25">
      <c r="E75" s="175"/>
      <c r="F75" s="175"/>
    </row>
    <row r="76" spans="2:6" x14ac:dyDescent="0.25">
      <c r="E76" s="175"/>
      <c r="F76" s="175"/>
    </row>
    <row r="77" spans="2:6" x14ac:dyDescent="0.25">
      <c r="E77" s="175"/>
      <c r="F77" s="175"/>
    </row>
    <row r="79" spans="2:6" x14ac:dyDescent="0.25">
      <c r="C79" s="173"/>
      <c r="E79" s="174"/>
      <c r="F79" s="175"/>
    </row>
    <row r="81" spans="5:6" x14ac:dyDescent="0.25">
      <c r="E81" s="175"/>
      <c r="F81" s="175"/>
    </row>
    <row r="82" spans="5:6" x14ac:dyDescent="0.25">
      <c r="E82" s="175"/>
      <c r="F82" s="175"/>
    </row>
    <row r="83" spans="5:6" x14ac:dyDescent="0.25">
      <c r="E83" s="175"/>
      <c r="F83" s="175"/>
    </row>
    <row r="84" spans="5:6" x14ac:dyDescent="0.25">
      <c r="E84" s="175"/>
      <c r="F84" s="175"/>
    </row>
    <row r="85" spans="5:6" x14ac:dyDescent="0.25">
      <c r="E85" s="175"/>
      <c r="F85" s="175"/>
    </row>
    <row r="86" spans="5:6" x14ac:dyDescent="0.25">
      <c r="E86" s="175"/>
      <c r="F86" s="175"/>
    </row>
    <row r="87" spans="5:6" x14ac:dyDescent="0.25">
      <c r="E87" s="175"/>
      <c r="F87" s="175"/>
    </row>
    <row r="88" spans="5:6" x14ac:dyDescent="0.25">
      <c r="E88" s="175"/>
      <c r="F88" s="175"/>
    </row>
  </sheetData>
  <mergeCells count="12">
    <mergeCell ref="B26:B30"/>
    <mergeCell ref="B9:E9"/>
    <mergeCell ref="B56:B60"/>
    <mergeCell ref="B61:B65"/>
    <mergeCell ref="B11:B15"/>
    <mergeCell ref="B31:B35"/>
    <mergeCell ref="B36:B40"/>
    <mergeCell ref="B41:B45"/>
    <mergeCell ref="B46:B50"/>
    <mergeCell ref="B51:B55"/>
    <mergeCell ref="B16:B20"/>
    <mergeCell ref="B21:B25"/>
  </mergeCells>
  <pageMargins left="0.31496062992125984" right="0.31496062992125984" top="0.74803149606299213" bottom="0.74803149606299213" header="0.31496062992125984" footer="0.31496062992125984"/>
  <pageSetup scale="72"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87"/>
  <sheetViews>
    <sheetView showGridLines="0" view="pageBreakPreview" topLeftCell="A40" zoomScale="70" zoomScaleNormal="85" zoomScaleSheetLayoutView="70" workbookViewId="0">
      <selection activeCell="O41" sqref="O4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9.85546875" style="6" bestFit="1" customWidth="1"/>
    <col min="8" max="8" width="12.5703125" style="6" bestFit="1" customWidth="1"/>
    <col min="9" max="9" width="2.85546875" style="6" customWidth="1"/>
    <col min="10" max="10" width="11.5703125" style="6" bestFit="1" customWidth="1"/>
    <col min="11" max="11" width="9.85546875" style="6" bestFit="1" customWidth="1"/>
    <col min="12" max="12" width="12.5703125" style="6" bestFit="1" customWidth="1"/>
    <col min="13" max="13" width="2.85546875" style="6" customWidth="1"/>
    <col min="14" max="14" width="11.85546875" style="6" bestFit="1"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7109375" style="211" bestFit="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9"/>
      <c r="D10" s="169"/>
      <c r="E10" s="169"/>
      <c r="F10" s="167" t="s">
        <v>137</v>
      </c>
      <c r="G10" s="169"/>
      <c r="H10" s="169"/>
      <c r="I10" s="169"/>
      <c r="J10" s="169"/>
      <c r="K10" s="169"/>
      <c r="L10" s="169"/>
      <c r="M10" s="169"/>
      <c r="N10" s="169"/>
      <c r="O10" s="169"/>
      <c r="P10"/>
    </row>
    <row r="11" spans="1:23" ht="18.75" customHeight="1" x14ac:dyDescent="0.25">
      <c r="C11" s="169"/>
      <c r="D11" s="169"/>
      <c r="E11" s="169"/>
      <c r="F11" s="169" t="s">
        <v>0</v>
      </c>
      <c r="G11" s="169"/>
      <c r="H11" s="169"/>
      <c r="I11" s="169"/>
      <c r="J11" s="169"/>
      <c r="K11" s="169"/>
      <c r="L11" s="169"/>
      <c r="M11" s="169"/>
      <c r="N11" s="169"/>
      <c r="O11" s="169"/>
      <c r="P11"/>
    </row>
    <row r="12" spans="1:23" ht="7.5" customHeight="1" x14ac:dyDescent="0.2">
      <c r="L12"/>
      <c r="M12"/>
      <c r="N12"/>
      <c r="O12"/>
      <c r="P12"/>
    </row>
    <row r="13" spans="1:23" ht="7.5" customHeight="1" x14ac:dyDescent="0.2">
      <c r="L13"/>
      <c r="M13"/>
      <c r="N13"/>
      <c r="O13"/>
      <c r="P13"/>
    </row>
    <row r="14" spans="1:23" ht="15.75" x14ac:dyDescent="0.2">
      <c r="B14" s="7" t="s">
        <v>1</v>
      </c>
      <c r="D14" s="269" t="s">
        <v>2</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1000</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+'Res (100)'!F23</f>
        <v>12.96</v>
      </c>
      <c r="G23" s="25">
        <v>1</v>
      </c>
      <c r="H23" s="26">
        <f>G23*F23</f>
        <v>12.96</v>
      </c>
      <c r="I23" s="27"/>
      <c r="J23" s="24">
        <f>+'Res (100)'!J23</f>
        <v>16.600000000000001</v>
      </c>
      <c r="K23" s="29">
        <v>1</v>
      </c>
      <c r="L23" s="26">
        <f>K23*J23</f>
        <v>16.600000000000001</v>
      </c>
      <c r="M23" s="27"/>
      <c r="N23" s="30">
        <f>L23-H23</f>
        <v>3.6400000000000006</v>
      </c>
      <c r="O23" s="31">
        <f>IF((H23)=0,"",(N23/H23))</f>
        <v>0.28086419753086422</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+'Res (100)'!F29</f>
        <v>1.9300000000000001E-2</v>
      </c>
      <c r="G29" s="25">
        <f>$F$18</f>
        <v>1000</v>
      </c>
      <c r="H29" s="26">
        <f t="shared" si="0"/>
        <v>19.3</v>
      </c>
      <c r="I29" s="27"/>
      <c r="J29" s="24">
        <f>+'Res (100)'!J29</f>
        <v>1.5100000000000001E-2</v>
      </c>
      <c r="K29" s="25">
        <f>$F$18</f>
        <v>1000</v>
      </c>
      <c r="L29" s="26">
        <f t="shared" si="1"/>
        <v>15.100000000000001</v>
      </c>
      <c r="M29" s="27"/>
      <c r="N29" s="30">
        <f t="shared" si="2"/>
        <v>-4.1999999999999993</v>
      </c>
      <c r="O29" s="31">
        <f t="shared" si="3"/>
        <v>-0.2176165803108808</v>
      </c>
      <c r="Q29" s="107"/>
      <c r="S29" s="107"/>
      <c r="U29" s="107"/>
      <c r="W29" s="107"/>
    </row>
    <row r="30" spans="2:23" x14ac:dyDescent="0.2">
      <c r="B30" s="21" t="s">
        <v>22</v>
      </c>
      <c r="C30" s="21"/>
      <c r="D30" s="22"/>
      <c r="E30" s="23"/>
      <c r="F30" s="24"/>
      <c r="G30" s="25">
        <f t="shared" ref="G30" si="4">$F$18</f>
        <v>1000</v>
      </c>
      <c r="H30" s="26">
        <f t="shared" si="0"/>
        <v>0</v>
      </c>
      <c r="I30" s="27"/>
      <c r="J30" s="24"/>
      <c r="K30" s="25">
        <f t="shared" ref="K30:K38" si="5">$F$18</f>
        <v>1000</v>
      </c>
      <c r="L30" s="26">
        <f t="shared" si="1"/>
        <v>0</v>
      </c>
      <c r="M30" s="27"/>
      <c r="N30" s="30">
        <f t="shared" si="2"/>
        <v>0</v>
      </c>
      <c r="O30" s="31" t="str">
        <f t="shared" si="3"/>
        <v/>
      </c>
      <c r="Q30" s="107"/>
      <c r="S30" s="107"/>
      <c r="U30" s="107"/>
      <c r="W30" s="107"/>
    </row>
    <row r="31" spans="2:23" x14ac:dyDescent="0.2">
      <c r="B31" s="21" t="s">
        <v>23</v>
      </c>
      <c r="C31" s="21"/>
      <c r="D31" s="22" t="s">
        <v>21</v>
      </c>
      <c r="E31" s="23"/>
      <c r="F31" s="50">
        <f>+'Res (100)'!F31</f>
        <v>-2.0000000000000002E-5</v>
      </c>
      <c r="G31" s="25">
        <f>$F$18</f>
        <v>1000</v>
      </c>
      <c r="H31" s="26">
        <f t="shared" si="0"/>
        <v>-0.02</v>
      </c>
      <c r="I31" s="27"/>
      <c r="J31" s="52">
        <f>+'Res (100)'!J31</f>
        <v>0</v>
      </c>
      <c r="K31" s="25">
        <f t="shared" si="5"/>
        <v>1000</v>
      </c>
      <c r="L31" s="26">
        <f t="shared" si="1"/>
        <v>0</v>
      </c>
      <c r="M31" s="27"/>
      <c r="N31" s="30">
        <f t="shared" si="2"/>
        <v>0.02</v>
      </c>
      <c r="O31" s="31">
        <f t="shared" si="3"/>
        <v>-1</v>
      </c>
      <c r="Q31" s="107"/>
      <c r="S31" s="107"/>
      <c r="U31" s="107"/>
      <c r="W31" s="107"/>
    </row>
    <row r="32" spans="2:23" x14ac:dyDescent="0.2">
      <c r="B32" s="33"/>
      <c r="C32" s="21"/>
      <c r="D32" s="22"/>
      <c r="E32" s="23"/>
      <c r="F32" s="24"/>
      <c r="G32" s="25">
        <f t="shared" ref="G32:G38" si="6">$F$18</f>
        <v>1000</v>
      </c>
      <c r="H32" s="26">
        <f t="shared" si="0"/>
        <v>0</v>
      </c>
      <c r="I32" s="27"/>
      <c r="J32" s="28"/>
      <c r="K32" s="25">
        <f t="shared" si="5"/>
        <v>1000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1000</v>
      </c>
      <c r="H33" s="26">
        <f t="shared" si="0"/>
        <v>0</v>
      </c>
      <c r="I33" s="27"/>
      <c r="J33" s="28"/>
      <c r="K33" s="25">
        <f t="shared" si="5"/>
        <v>1000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1000</v>
      </c>
      <c r="H34" s="26">
        <f t="shared" si="0"/>
        <v>0</v>
      </c>
      <c r="I34" s="27"/>
      <c r="J34" s="28"/>
      <c r="K34" s="25">
        <f t="shared" si="5"/>
        <v>1000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1000</v>
      </c>
      <c r="H35" s="26">
        <f t="shared" si="0"/>
        <v>0</v>
      </c>
      <c r="I35" s="27"/>
      <c r="J35" s="28"/>
      <c r="K35" s="25">
        <f t="shared" si="5"/>
        <v>1000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1000</v>
      </c>
      <c r="H36" s="26">
        <f t="shared" si="0"/>
        <v>0</v>
      </c>
      <c r="I36" s="27"/>
      <c r="J36" s="28"/>
      <c r="K36" s="25">
        <f t="shared" si="5"/>
        <v>1000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1000</v>
      </c>
      <c r="H37" s="26">
        <f t="shared" si="0"/>
        <v>0</v>
      </c>
      <c r="I37" s="27"/>
      <c r="J37" s="28"/>
      <c r="K37" s="25">
        <f t="shared" si="5"/>
        <v>1000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1000</v>
      </c>
      <c r="H38" s="26">
        <f t="shared" si="0"/>
        <v>0</v>
      </c>
      <c r="I38" s="27"/>
      <c r="J38" s="28"/>
      <c r="K38" s="25">
        <f t="shared" si="5"/>
        <v>1000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32.24</v>
      </c>
      <c r="I39" s="40"/>
      <c r="J39" s="41"/>
      <c r="K39" s="42"/>
      <c r="L39" s="39">
        <f>SUM(L23:L38)</f>
        <v>31.700000000000003</v>
      </c>
      <c r="M39" s="40"/>
      <c r="N39" s="43">
        <f t="shared" si="2"/>
        <v>-0.53999999999999915</v>
      </c>
      <c r="O39" s="44">
        <f t="shared" si="3"/>
        <v>-1.6749379652605433E-2</v>
      </c>
      <c r="Q39" s="107"/>
      <c r="R39" s="211"/>
      <c r="S39" s="107"/>
      <c r="T39" s="211"/>
      <c r="U39" s="107"/>
      <c r="V39" s="211"/>
      <c r="W39" s="107"/>
    </row>
    <row r="40" spans="2:23" ht="38.25" x14ac:dyDescent="0.2">
      <c r="B40" s="46" t="str">
        <f>+'Res (100)'!B40</f>
        <v>Deferral/Variance Account Disposition Rate Rider Group 1</v>
      </c>
      <c r="C40" s="21"/>
      <c r="D40" s="22" t="s">
        <v>21</v>
      </c>
      <c r="E40" s="23"/>
      <c r="F40" s="24">
        <f>'Res (100)'!F40</f>
        <v>-8.2600000000000002E-4</v>
      </c>
      <c r="G40" s="25">
        <f>$F$18</f>
        <v>1000</v>
      </c>
      <c r="H40" s="26">
        <f>G40*F40</f>
        <v>-0.82600000000000007</v>
      </c>
      <c r="I40" s="27"/>
      <c r="J40" s="28">
        <f>+'Res (100)'!J40</f>
        <v>-1E-4</v>
      </c>
      <c r="K40" s="25">
        <f>$F$18</f>
        <v>1000</v>
      </c>
      <c r="L40" s="26">
        <f>K40*J40</f>
        <v>-0.1</v>
      </c>
      <c r="M40" s="27"/>
      <c r="N40" s="30">
        <f>L40-H40</f>
        <v>0.72600000000000009</v>
      </c>
      <c r="O40" s="31">
        <f>IF((H40)=0,"",(N40/H40))</f>
        <v>-0.87893462469733663</v>
      </c>
      <c r="Q40" s="107"/>
      <c r="S40" s="107"/>
      <c r="U40" s="107"/>
      <c r="W40" s="107"/>
    </row>
    <row r="41" spans="2:23" ht="38.25" x14ac:dyDescent="0.2">
      <c r="B41" s="46" t="str">
        <f>+'Res (100)'!B41</f>
        <v>Deferral/Variance Account Disposition Rate Rider Group 2</v>
      </c>
      <c r="C41" s="21"/>
      <c r="D41" s="22" t="s">
        <v>18</v>
      </c>
      <c r="E41" s="23"/>
      <c r="F41" s="24">
        <f>'Res (100)'!F41</f>
        <v>0.32</v>
      </c>
      <c r="G41" s="25">
        <v>1</v>
      </c>
      <c r="H41" s="26">
        <f t="shared" ref="H41:H45" si="7">G41*F41</f>
        <v>0.32</v>
      </c>
      <c r="I41" s="47"/>
      <c r="J41" s="28">
        <f>+'Res (100)'!J41</f>
        <v>0.02</v>
      </c>
      <c r="K41" s="25">
        <v>1</v>
      </c>
      <c r="L41" s="26">
        <f t="shared" ref="L41:L45" si="8">K41*J41</f>
        <v>0.02</v>
      </c>
      <c r="M41" s="48"/>
      <c r="N41" s="30">
        <f t="shared" ref="N41:N45" si="9">L41-H41</f>
        <v>-0.3</v>
      </c>
      <c r="O41" s="31">
        <f t="shared" ref="O41:O63" si="10">IF((H41)=0,"",(N41/H41))</f>
        <v>-0.9375</v>
      </c>
      <c r="Q41" s="107"/>
      <c r="S41" s="107"/>
      <c r="U41" s="107"/>
      <c r="W41" s="107"/>
    </row>
    <row r="42" spans="2:23" ht="38.25" x14ac:dyDescent="0.2">
      <c r="B42" s="46" t="str">
        <f>+'Res (100)'!B42</f>
        <v>Deferral / Variance Accounts Balances (excluding Global Adj.) - NON-WMP</v>
      </c>
      <c r="C42" s="21"/>
      <c r="D42" s="22" t="s">
        <v>21</v>
      </c>
      <c r="E42" s="23"/>
      <c r="F42" s="24">
        <f>'Res (232)'!F42</f>
        <v>-1.5089999999999999E-3</v>
      </c>
      <c r="G42" s="25">
        <f t="shared" ref="G42:G43" si="11">$F$18</f>
        <v>1000</v>
      </c>
      <c r="H42" s="26">
        <f t="shared" si="7"/>
        <v>-1.5089999999999999</v>
      </c>
      <c r="I42" s="47"/>
      <c r="J42" s="28">
        <f>+'Res (100)'!J42</f>
        <v>-2.3E-3</v>
      </c>
      <c r="K42" s="25">
        <f t="shared" ref="K42:K43" si="12">$F$18</f>
        <v>1000</v>
      </c>
      <c r="L42" s="26">
        <f t="shared" si="8"/>
        <v>-2.2999999999999998</v>
      </c>
      <c r="M42" s="48"/>
      <c r="N42" s="30">
        <f t="shared" si="9"/>
        <v>-0.79099999999999993</v>
      </c>
      <c r="O42" s="31">
        <f t="shared" si="10"/>
        <v>0.52418820410868128</v>
      </c>
      <c r="Q42" s="107"/>
      <c r="S42" s="107"/>
      <c r="U42" s="107"/>
      <c r="W42" s="107"/>
    </row>
    <row r="43" spans="2:23" ht="38.25" x14ac:dyDescent="0.2">
      <c r="B43" s="46" t="s">
        <v>128</v>
      </c>
      <c r="C43" s="21"/>
      <c r="D43" s="22" t="s">
        <v>21</v>
      </c>
      <c r="E43" s="23"/>
      <c r="F43" s="24">
        <f>+'Res (100)'!F43</f>
        <v>0</v>
      </c>
      <c r="G43" s="25">
        <f t="shared" si="11"/>
        <v>1000</v>
      </c>
      <c r="H43" s="26">
        <f t="shared" si="7"/>
        <v>0</v>
      </c>
      <c r="I43" s="47"/>
      <c r="J43" s="233">
        <f>+'Res (100)'!J43</f>
        <v>2.7E-4</v>
      </c>
      <c r="K43" s="25">
        <f t="shared" si="12"/>
        <v>1000</v>
      </c>
      <c r="L43" s="26">
        <f t="shared" si="8"/>
        <v>0.27</v>
      </c>
      <c r="M43" s="48"/>
      <c r="N43" s="30">
        <f t="shared" si="9"/>
        <v>0.27</v>
      </c>
      <c r="O43" s="31" t="str">
        <f t="shared" si="10"/>
        <v/>
      </c>
      <c r="Q43" s="107"/>
      <c r="S43" s="107"/>
      <c r="U43" s="107"/>
      <c r="W43" s="107"/>
    </row>
    <row r="44" spans="2:23" x14ac:dyDescent="0.2">
      <c r="B44" s="49" t="s">
        <v>26</v>
      </c>
      <c r="C44" s="21"/>
      <c r="D44" s="22" t="s">
        <v>21</v>
      </c>
      <c r="E44" s="23"/>
      <c r="F44" s="50">
        <f>'Res (100)'!F44</f>
        <v>6.9999999999999994E-5</v>
      </c>
      <c r="G44" s="51">
        <f>$F$18*(1+F70)</f>
        <v>1033.5</v>
      </c>
      <c r="H44" s="26">
        <f>G44*F44</f>
        <v>7.2344999999999993E-2</v>
      </c>
      <c r="I44" s="27"/>
      <c r="J44" s="52">
        <f>'Res (100)'!J44</f>
        <v>6.9999999999999994E-5</v>
      </c>
      <c r="K44" s="51">
        <f>$F$18*(1+J70)</f>
        <v>1033.5</v>
      </c>
      <c r="L44" s="26">
        <f>K44*J44</f>
        <v>7.2344999999999993E-2</v>
      </c>
      <c r="M44" s="27"/>
      <c r="N44" s="30">
        <f>L44-H44</f>
        <v>0</v>
      </c>
      <c r="O44" s="31">
        <f>IF((H44)=0,"",(N44/H44))</f>
        <v>0</v>
      </c>
      <c r="Q44" s="107"/>
      <c r="S44" s="107"/>
      <c r="U44" s="107"/>
      <c r="W44" s="107"/>
    </row>
    <row r="45" spans="2:23" x14ac:dyDescent="0.2">
      <c r="B45" s="49" t="s">
        <v>27</v>
      </c>
      <c r="C45" s="21"/>
      <c r="D45" s="22"/>
      <c r="E45" s="23"/>
      <c r="F45" s="53">
        <f>IF(ISBLANK(D16)=TRUE, 0, IF(D16="TOU", 0.65*$F$55+0.17*$F$56+0.18*$F$57, IF(AND(D16="non-TOU", G59&gt;0), F59,F58)))</f>
        <v>0.11139</v>
      </c>
      <c r="G45" s="54">
        <f>$F$18*(1+$F$70)-$F$18</f>
        <v>33.5</v>
      </c>
      <c r="H45" s="26">
        <f t="shared" si="7"/>
        <v>3.7315650000000002</v>
      </c>
      <c r="I45" s="27"/>
      <c r="J45" s="55">
        <f>0.65*$J$55+0.17*$J$56+0.18*$J$57</f>
        <v>0.11139</v>
      </c>
      <c r="K45" s="54">
        <f>$F$18*(1+$J$70)-$F$18</f>
        <v>33.5</v>
      </c>
      <c r="L45" s="26">
        <f t="shared" si="8"/>
        <v>3.7315650000000002</v>
      </c>
      <c r="M45" s="27"/>
      <c r="N45" s="30">
        <f t="shared" si="9"/>
        <v>0</v>
      </c>
      <c r="O45" s="31">
        <f t="shared" si="10"/>
        <v>0</v>
      </c>
      <c r="Q45" s="107"/>
      <c r="S45" s="107"/>
      <c r="U45" s="107"/>
      <c r="W45" s="107"/>
    </row>
    <row r="46" spans="2:23" x14ac:dyDescent="0.2">
      <c r="B46" s="49" t="s">
        <v>28</v>
      </c>
      <c r="C46" s="21"/>
      <c r="D46" s="22" t="s">
        <v>18</v>
      </c>
      <c r="E46" s="23"/>
      <c r="F46" s="53">
        <f>'Res (100)'!F46</f>
        <v>0.79</v>
      </c>
      <c r="G46" s="25">
        <v>1</v>
      </c>
      <c r="H46" s="26">
        <f>G46*F46</f>
        <v>0.79</v>
      </c>
      <c r="I46" s="27"/>
      <c r="J46" s="53">
        <f>'Res (100)'!J46</f>
        <v>0.79</v>
      </c>
      <c r="K46" s="25">
        <v>1</v>
      </c>
      <c r="L46" s="26">
        <f>K46*J46</f>
        <v>0.79</v>
      </c>
      <c r="M46" s="27"/>
      <c r="N46" s="30">
        <f>L46-H46</f>
        <v>0</v>
      </c>
      <c r="O46" s="31">
        <f t="shared" si="10"/>
        <v>0</v>
      </c>
      <c r="Q46" s="107"/>
      <c r="S46" s="107"/>
      <c r="U46" s="107"/>
      <c r="W46" s="107"/>
    </row>
    <row r="47" spans="2:23" ht="25.5" x14ac:dyDescent="0.2">
      <c r="B47" s="56" t="s">
        <v>29</v>
      </c>
      <c r="C47" s="57"/>
      <c r="D47" s="57"/>
      <c r="E47" s="57"/>
      <c r="F47" s="58"/>
      <c r="G47" s="59"/>
      <c r="H47" s="60">
        <f>SUM(H40:H46)+H39</f>
        <v>34.818910000000002</v>
      </c>
      <c r="I47" s="40"/>
      <c r="J47" s="59"/>
      <c r="K47" s="61"/>
      <c r="L47" s="60">
        <f>SUM(L40:L46)+L39</f>
        <v>34.183910000000004</v>
      </c>
      <c r="M47" s="40"/>
      <c r="N47" s="43">
        <f t="shared" ref="N47:N63" si="13">L47-H47</f>
        <v>-0.63499999999999801</v>
      </c>
      <c r="O47" s="44">
        <f t="shared" si="10"/>
        <v>-1.8237216501033431E-2</v>
      </c>
      <c r="Q47" s="107"/>
      <c r="S47" s="107"/>
      <c r="U47" s="107"/>
      <c r="W47" s="107"/>
    </row>
    <row r="48" spans="2:23" x14ac:dyDescent="0.2">
      <c r="B48" s="27" t="s">
        <v>30</v>
      </c>
      <c r="C48" s="27"/>
      <c r="D48" s="62" t="s">
        <v>21</v>
      </c>
      <c r="E48" s="63"/>
      <c r="F48" s="28">
        <f>'Res (100)'!F48</f>
        <v>7.6E-3</v>
      </c>
      <c r="G48" s="64">
        <f>F18*(1+F70)</f>
        <v>1033.5</v>
      </c>
      <c r="H48" s="26">
        <f>G48*F48</f>
        <v>7.8545999999999996</v>
      </c>
      <c r="I48" s="27"/>
      <c r="J48" s="28">
        <f>'Res (100)'!J48</f>
        <v>7.4000000000000003E-3</v>
      </c>
      <c r="K48" s="65">
        <f>F18*(1+J70)</f>
        <v>1033.5</v>
      </c>
      <c r="L48" s="26">
        <f>K48*J48</f>
        <v>7.6478999999999999</v>
      </c>
      <c r="M48" s="27"/>
      <c r="N48" s="30">
        <f t="shared" si="13"/>
        <v>-0.20669999999999966</v>
      </c>
      <c r="O48" s="31">
        <f t="shared" si="10"/>
        <v>-2.6315789473684167E-2</v>
      </c>
      <c r="Q48" s="107"/>
      <c r="S48" s="107"/>
      <c r="U48" s="107"/>
      <c r="W48" s="107"/>
    </row>
    <row r="49" spans="2:23" ht="25.5" x14ac:dyDescent="0.2">
      <c r="B49" s="66" t="s">
        <v>31</v>
      </c>
      <c r="C49" s="27"/>
      <c r="D49" s="62" t="s">
        <v>21</v>
      </c>
      <c r="E49" s="63"/>
      <c r="F49" s="28">
        <f>'Res (100)'!F49</f>
        <v>4.7000000000000002E-3</v>
      </c>
      <c r="G49" s="64">
        <f>G48</f>
        <v>1033.5</v>
      </c>
      <c r="H49" s="26">
        <f>G49*F49</f>
        <v>4.85745</v>
      </c>
      <c r="I49" s="27"/>
      <c r="J49" s="28">
        <f>'Res (100)'!J49</f>
        <v>4.7000000000000002E-3</v>
      </c>
      <c r="K49" s="65">
        <f>K48</f>
        <v>1033.5</v>
      </c>
      <c r="L49" s="26">
        <f>K49*J49</f>
        <v>4.85745</v>
      </c>
      <c r="M49" s="27"/>
      <c r="N49" s="30">
        <f t="shared" si="13"/>
        <v>0</v>
      </c>
      <c r="O49" s="31">
        <f t="shared" si="10"/>
        <v>0</v>
      </c>
      <c r="Q49" s="107"/>
      <c r="S49" s="107"/>
      <c r="U49" s="107"/>
      <c r="W49" s="107"/>
    </row>
    <row r="50" spans="2:23" ht="25.5" x14ac:dyDescent="0.2">
      <c r="B50" s="56" t="s">
        <v>32</v>
      </c>
      <c r="C50" s="35"/>
      <c r="D50" s="35"/>
      <c r="E50" s="35"/>
      <c r="F50" s="67"/>
      <c r="G50" s="59"/>
      <c r="H50" s="60">
        <f>SUM(H47:H49)</f>
        <v>47.53096</v>
      </c>
      <c r="I50" s="68"/>
      <c r="J50" s="69"/>
      <c r="K50" s="70"/>
      <c r="L50" s="60">
        <f>SUM(L47:L49)</f>
        <v>46.689260000000004</v>
      </c>
      <c r="M50" s="68"/>
      <c r="N50" s="43">
        <f t="shared" si="13"/>
        <v>-0.8416999999999959</v>
      </c>
      <c r="O50" s="44">
        <f t="shared" si="10"/>
        <v>-1.7708457813601825E-2</v>
      </c>
      <c r="Q50" s="102"/>
      <c r="S50" s="102"/>
      <c r="U50" s="102"/>
      <c r="W50" s="102"/>
    </row>
    <row r="51" spans="2:23" ht="25.5" x14ac:dyDescent="0.2">
      <c r="B51" s="71" t="s">
        <v>33</v>
      </c>
      <c r="C51" s="21"/>
      <c r="D51" s="22" t="s">
        <v>21</v>
      </c>
      <c r="E51" s="23"/>
      <c r="F51" s="72">
        <f>'Res (100)'!F51</f>
        <v>3.5999999999999999E-3</v>
      </c>
      <c r="G51" s="64">
        <f>G49</f>
        <v>1033.5</v>
      </c>
      <c r="H51" s="73">
        <f t="shared" ref="H51:H57" si="14">G51*F51</f>
        <v>3.7205999999999997</v>
      </c>
      <c r="I51" s="27"/>
      <c r="J51" s="72">
        <f>F51</f>
        <v>3.5999999999999999E-3</v>
      </c>
      <c r="K51" s="65">
        <f>K49</f>
        <v>1033.5</v>
      </c>
      <c r="L51" s="73">
        <f t="shared" ref="L51:L57" si="15">K51*J51</f>
        <v>3.7205999999999997</v>
      </c>
      <c r="M51" s="27"/>
      <c r="N51" s="30">
        <f t="shared" si="13"/>
        <v>0</v>
      </c>
      <c r="O51" s="74">
        <f t="shared" si="10"/>
        <v>0</v>
      </c>
      <c r="Q51" s="107"/>
      <c r="S51" s="107"/>
      <c r="U51" s="107"/>
      <c r="W51" s="107"/>
    </row>
    <row r="52" spans="2:23" ht="25.5" x14ac:dyDescent="0.2">
      <c r="B52" s="71" t="s">
        <v>34</v>
      </c>
      <c r="C52" s="21"/>
      <c r="D52" s="22" t="s">
        <v>21</v>
      </c>
      <c r="E52" s="23"/>
      <c r="F52" s="72">
        <f>'Res (100)'!F52</f>
        <v>1.2999999999999999E-3</v>
      </c>
      <c r="G52" s="64">
        <f>G49</f>
        <v>1033.5</v>
      </c>
      <c r="H52" s="73">
        <f t="shared" si="14"/>
        <v>1.34355</v>
      </c>
      <c r="I52" s="27"/>
      <c r="J52" s="72">
        <f>F52</f>
        <v>1.2999999999999999E-3</v>
      </c>
      <c r="K52" s="65">
        <f>K49</f>
        <v>1033.5</v>
      </c>
      <c r="L52" s="73">
        <f t="shared" si="15"/>
        <v>1.34355</v>
      </c>
      <c r="M52" s="27"/>
      <c r="N52" s="30">
        <f t="shared" si="13"/>
        <v>0</v>
      </c>
      <c r="O52" s="74">
        <f t="shared" si="10"/>
        <v>0</v>
      </c>
      <c r="Q52" s="107"/>
      <c r="S52" s="107"/>
      <c r="U52" s="107"/>
      <c r="W52" s="107"/>
    </row>
    <row r="53" spans="2:23" x14ac:dyDescent="0.2">
      <c r="B53" s="21" t="s">
        <v>35</v>
      </c>
      <c r="C53" s="21"/>
      <c r="D53" s="22" t="s">
        <v>18</v>
      </c>
      <c r="E53" s="23"/>
      <c r="F53" s="72">
        <f>'Res (100)'!F53</f>
        <v>0.25</v>
      </c>
      <c r="G53" s="25">
        <v>1</v>
      </c>
      <c r="H53" s="73">
        <f t="shared" si="14"/>
        <v>0.25</v>
      </c>
      <c r="I53" s="27"/>
      <c r="J53" s="72">
        <f>F53</f>
        <v>0.25</v>
      </c>
      <c r="K53" s="29">
        <v>1</v>
      </c>
      <c r="L53" s="73">
        <f t="shared" si="15"/>
        <v>0.25</v>
      </c>
      <c r="M53" s="27"/>
      <c r="N53" s="30">
        <f t="shared" si="13"/>
        <v>0</v>
      </c>
      <c r="O53" s="74">
        <f t="shared" si="10"/>
        <v>0</v>
      </c>
      <c r="Q53" s="107"/>
      <c r="S53" s="107"/>
      <c r="U53" s="107"/>
      <c r="W53" s="107"/>
    </row>
    <row r="54" spans="2:23" x14ac:dyDescent="0.2">
      <c r="B54" s="21" t="s">
        <v>122</v>
      </c>
      <c r="C54" s="21"/>
      <c r="D54" s="22"/>
      <c r="E54" s="23"/>
      <c r="F54" s="72">
        <f>'Res (100)'!F54</f>
        <v>1.1000000000000001E-3</v>
      </c>
      <c r="G54" s="64">
        <f>$F$18*(1+F70)</f>
        <v>1033.5</v>
      </c>
      <c r="H54" s="73">
        <f>G54*F54</f>
        <v>1.1368500000000001</v>
      </c>
      <c r="I54" s="27"/>
      <c r="J54" s="72">
        <f>'Res (100)'!J54</f>
        <v>1.1000000000000001E-3</v>
      </c>
      <c r="K54" s="65">
        <f>$F$18*(1+J70)</f>
        <v>1033.5</v>
      </c>
      <c r="L54" s="73">
        <f>K54*J54</f>
        <v>1.1368500000000001</v>
      </c>
      <c r="M54" s="27"/>
      <c r="N54" s="30"/>
      <c r="O54" s="74"/>
      <c r="Q54" s="107"/>
      <c r="S54" s="107"/>
      <c r="U54" s="107"/>
      <c r="W54" s="107"/>
    </row>
    <row r="55" spans="2:23" x14ac:dyDescent="0.2">
      <c r="B55" s="49" t="s">
        <v>37</v>
      </c>
      <c r="C55" s="21"/>
      <c r="D55" s="22"/>
      <c r="E55" s="23"/>
      <c r="F55" s="72">
        <f>'Res (100)'!F55</f>
        <v>8.6999999999999994E-2</v>
      </c>
      <c r="G55" s="77">
        <f>0.65*$F$18</f>
        <v>650</v>
      </c>
      <c r="H55" s="73">
        <f t="shared" si="14"/>
        <v>56.55</v>
      </c>
      <c r="I55" s="27"/>
      <c r="J55" s="72">
        <f>F55</f>
        <v>8.6999999999999994E-2</v>
      </c>
      <c r="K55" s="77">
        <f>$G$55</f>
        <v>650</v>
      </c>
      <c r="L55" s="73">
        <f t="shared" si="15"/>
        <v>56.55</v>
      </c>
      <c r="M55" s="27"/>
      <c r="N55" s="30">
        <f t="shared" si="13"/>
        <v>0</v>
      </c>
      <c r="O55" s="74">
        <f t="shared" si="10"/>
        <v>0</v>
      </c>
      <c r="Q55" s="107"/>
      <c r="S55" s="107"/>
      <c r="U55" s="107"/>
      <c r="W55" s="107"/>
    </row>
    <row r="56" spans="2:23" x14ac:dyDescent="0.2">
      <c r="B56" s="49" t="s">
        <v>38</v>
      </c>
      <c r="C56" s="21"/>
      <c r="D56" s="22"/>
      <c r="E56" s="23"/>
      <c r="F56" s="72">
        <f>'Res (100)'!F56</f>
        <v>0.13200000000000001</v>
      </c>
      <c r="G56" s="77">
        <f>0.17*$F$18</f>
        <v>170</v>
      </c>
      <c r="H56" s="73">
        <f t="shared" si="14"/>
        <v>22.44</v>
      </c>
      <c r="I56" s="27"/>
      <c r="J56" s="72">
        <f>F56</f>
        <v>0.13200000000000001</v>
      </c>
      <c r="K56" s="77">
        <f>$G$56</f>
        <v>170</v>
      </c>
      <c r="L56" s="73">
        <f t="shared" si="15"/>
        <v>22.44</v>
      </c>
      <c r="M56" s="27"/>
      <c r="N56" s="30">
        <f t="shared" si="13"/>
        <v>0</v>
      </c>
      <c r="O56" s="74">
        <f t="shared" si="10"/>
        <v>0</v>
      </c>
      <c r="Q56" s="107"/>
      <c r="S56" s="107"/>
      <c r="U56" s="107"/>
      <c r="W56" s="107"/>
    </row>
    <row r="57" spans="2:23" x14ac:dyDescent="0.2">
      <c r="B57" s="11" t="s">
        <v>39</v>
      </c>
      <c r="C57" s="21"/>
      <c r="D57" s="22"/>
      <c r="E57" s="23"/>
      <c r="F57" s="72">
        <f>'Res (100)'!F57</f>
        <v>0.18</v>
      </c>
      <c r="G57" s="77">
        <f>0.18*$F$18</f>
        <v>180</v>
      </c>
      <c r="H57" s="73">
        <f t="shared" si="14"/>
        <v>32.4</v>
      </c>
      <c r="I57" s="27"/>
      <c r="J57" s="72">
        <f>F57</f>
        <v>0.18</v>
      </c>
      <c r="K57" s="77">
        <f>$G$57</f>
        <v>180</v>
      </c>
      <c r="L57" s="73">
        <f t="shared" si="15"/>
        <v>32.4</v>
      </c>
      <c r="M57" s="27"/>
      <c r="N57" s="30">
        <f t="shared" si="13"/>
        <v>0</v>
      </c>
      <c r="O57" s="74">
        <f t="shared" si="10"/>
        <v>0</v>
      </c>
      <c r="Q57" s="107"/>
      <c r="S57" s="107"/>
      <c r="U57" s="107"/>
      <c r="W57" s="107"/>
    </row>
    <row r="58" spans="2:23" s="85" customFormat="1" x14ac:dyDescent="0.2">
      <c r="B58" s="78" t="s">
        <v>40</v>
      </c>
      <c r="C58" s="79"/>
      <c r="D58" s="80"/>
      <c r="E58" s="81"/>
      <c r="F58" s="72">
        <f>'Res (100)'!F58</f>
        <v>0.10299999999999999</v>
      </c>
      <c r="G58" s="82">
        <f>IF(AND($Q$1=1, F18&gt;=600), 600, IF(AND($Q$1=1, AND(F18&lt;600, F18&gt;=0)), F18, IF(AND($Q$1=2, F18&gt;=1000), 1000, IF(AND($Q$1=2, AND(F18&lt;1000, F18&gt;=0)), F18))))</f>
        <v>600</v>
      </c>
      <c r="H58" s="73">
        <f>G58*F58</f>
        <v>61.8</v>
      </c>
      <c r="I58" s="83"/>
      <c r="J58" s="72">
        <f>F58</f>
        <v>0.10299999999999999</v>
      </c>
      <c r="K58" s="82">
        <f>$G$58</f>
        <v>600</v>
      </c>
      <c r="L58" s="73">
        <f>K58*J58</f>
        <v>61.8</v>
      </c>
      <c r="M58" s="83"/>
      <c r="N58" s="84">
        <f t="shared" si="13"/>
        <v>0</v>
      </c>
      <c r="O58" s="74">
        <f t="shared" si="10"/>
        <v>0</v>
      </c>
      <c r="Q58" s="143"/>
      <c r="R58" s="212"/>
      <c r="S58" s="143"/>
      <c r="T58" s="212"/>
      <c r="U58" s="143"/>
      <c r="V58" s="212"/>
      <c r="W58" s="143"/>
    </row>
    <row r="59" spans="2:23" s="85" customFormat="1" ht="13.5" thickBot="1" x14ac:dyDescent="0.25">
      <c r="B59" s="78" t="s">
        <v>41</v>
      </c>
      <c r="C59" s="79"/>
      <c r="D59" s="80"/>
      <c r="E59" s="81"/>
      <c r="F59" s="72">
        <f>'Res (100)'!F59</f>
        <v>0.121</v>
      </c>
      <c r="G59" s="82">
        <f>IF(AND($Q$1=1, F18&gt;=600), F18-600, IF(AND($Q$1=1, AND(F18&lt;600, F18&gt;=0)), 0, IF(AND($Q$1=2, F18&gt;=1000), F18-1000, IF(AND($Q$1=2, AND(F18&lt;1000, F18&gt;=0)), 0))))</f>
        <v>400</v>
      </c>
      <c r="H59" s="73">
        <f>G59*F59</f>
        <v>48.4</v>
      </c>
      <c r="I59" s="83"/>
      <c r="J59" s="72">
        <f>F59</f>
        <v>0.121</v>
      </c>
      <c r="K59" s="82">
        <f>$G$59</f>
        <v>400</v>
      </c>
      <c r="L59" s="73">
        <f>K59*J59</f>
        <v>48.4</v>
      </c>
      <c r="M59" s="83"/>
      <c r="N59" s="84">
        <f t="shared" si="13"/>
        <v>0</v>
      </c>
      <c r="O59" s="74">
        <f t="shared" si="10"/>
        <v>0</v>
      </c>
      <c r="Q59" s="143"/>
      <c r="R59" s="212"/>
      <c r="S59" s="143"/>
      <c r="T59" s="212"/>
      <c r="U59" s="143"/>
      <c r="V59" s="212"/>
      <c r="W59" s="143"/>
    </row>
    <row r="60" spans="2:23" ht="8.25" customHeight="1" thickBot="1" x14ac:dyDescent="0.25">
      <c r="B60" s="86"/>
      <c r="C60" s="87"/>
      <c r="D60" s="88"/>
      <c r="E60" s="87"/>
      <c r="F60" s="89"/>
      <c r="G60" s="90"/>
      <c r="H60" s="91"/>
      <c r="I60" s="92"/>
      <c r="J60" s="89"/>
      <c r="K60" s="93"/>
      <c r="L60" s="91"/>
      <c r="M60" s="92"/>
      <c r="N60" s="94"/>
      <c r="O60" s="95"/>
      <c r="Q60" s="107"/>
      <c r="S60" s="107"/>
      <c r="U60" s="107"/>
      <c r="W60" s="107"/>
    </row>
    <row r="61" spans="2:23" x14ac:dyDescent="0.2">
      <c r="B61" s="96" t="s">
        <v>42</v>
      </c>
      <c r="C61" s="21"/>
      <c r="D61" s="21"/>
      <c r="E61" s="21"/>
      <c r="F61" s="97"/>
      <c r="G61" s="98"/>
      <c r="H61" s="99">
        <f>SUM(H51:H57,H50)</f>
        <v>165.37196</v>
      </c>
      <c r="I61" s="100"/>
      <c r="J61" s="101"/>
      <c r="K61" s="101"/>
      <c r="L61" s="99">
        <f>SUM(L51:L57,L50)</f>
        <v>164.53026</v>
      </c>
      <c r="M61" s="102"/>
      <c r="N61" s="103">
        <f t="shared" ref="N61" si="16">L61-H61</f>
        <v>-0.841700000000003</v>
      </c>
      <c r="O61" s="104">
        <f t="shared" ref="O61" si="17">IF((H61)=0,"",(N61/H61))</f>
        <v>-5.0897383087193443E-3</v>
      </c>
      <c r="Q61" s="102"/>
      <c r="S61" s="102"/>
      <c r="U61" s="102"/>
      <c r="W61" s="102"/>
    </row>
    <row r="62" spans="2:23" x14ac:dyDescent="0.2">
      <c r="B62" s="105" t="s">
        <v>43</v>
      </c>
      <c r="C62" s="21"/>
      <c r="D62" s="21"/>
      <c r="E62" s="21"/>
      <c r="F62" s="106">
        <v>0.13</v>
      </c>
      <c r="G62" s="107"/>
      <c r="H62" s="108">
        <f>H61*F62</f>
        <v>21.498354800000001</v>
      </c>
      <c r="I62" s="109"/>
      <c r="J62" s="110">
        <v>0.13</v>
      </c>
      <c r="K62" s="109"/>
      <c r="L62" s="111">
        <f>L61*J62</f>
        <v>21.3889338</v>
      </c>
      <c r="M62" s="112"/>
      <c r="N62" s="113">
        <f t="shared" si="13"/>
        <v>-0.1094210000000011</v>
      </c>
      <c r="O62" s="114">
        <f t="shared" si="10"/>
        <v>-5.0897383087193764E-3</v>
      </c>
      <c r="Q62" s="112"/>
      <c r="S62" s="112"/>
      <c r="U62" s="112"/>
      <c r="W62" s="112"/>
    </row>
    <row r="63" spans="2:23" ht="13.5" thickBot="1" x14ac:dyDescent="0.25">
      <c r="B63" s="115" t="s">
        <v>44</v>
      </c>
      <c r="C63" s="21"/>
      <c r="D63" s="21"/>
      <c r="E63" s="21"/>
      <c r="F63" s="116"/>
      <c r="G63" s="107"/>
      <c r="H63" s="99">
        <f>H61+H62</f>
        <v>186.87031480000002</v>
      </c>
      <c r="I63" s="109"/>
      <c r="J63" s="109"/>
      <c r="K63" s="109"/>
      <c r="L63" s="220">
        <f>L61+L62</f>
        <v>185.91919379999999</v>
      </c>
      <c r="M63" s="112"/>
      <c r="N63" s="103">
        <f t="shared" si="13"/>
        <v>-0.95112100000002897</v>
      </c>
      <c r="O63" s="104">
        <f t="shared" si="10"/>
        <v>-5.0897383087194804E-3</v>
      </c>
      <c r="Q63" s="112"/>
      <c r="S63" s="112"/>
      <c r="U63" s="112"/>
      <c r="W63" s="112"/>
    </row>
    <row r="64" spans="2:23" s="85" customFormat="1" ht="8.25" customHeight="1" thickBot="1" x14ac:dyDescent="0.25">
      <c r="B64" s="117"/>
      <c r="C64" s="118"/>
      <c r="D64" s="119"/>
      <c r="E64" s="118"/>
      <c r="F64" s="89"/>
      <c r="G64" s="120"/>
      <c r="H64" s="91"/>
      <c r="I64" s="121"/>
      <c r="J64" s="89"/>
      <c r="K64" s="122"/>
      <c r="L64" s="91"/>
      <c r="M64" s="121"/>
      <c r="N64" s="123"/>
      <c r="O64" s="95"/>
      <c r="Q64" s="143"/>
      <c r="R64" s="212"/>
      <c r="S64" s="143"/>
      <c r="T64" s="212"/>
      <c r="U64" s="143"/>
      <c r="V64" s="212"/>
      <c r="W64" s="143"/>
    </row>
    <row r="65" spans="1:23" s="85" customFormat="1" x14ac:dyDescent="0.2">
      <c r="B65" s="124" t="s">
        <v>45</v>
      </c>
      <c r="C65" s="79"/>
      <c r="D65" s="79"/>
      <c r="E65" s="79"/>
      <c r="F65" s="125"/>
      <c r="G65" s="126"/>
      <c r="H65" s="127">
        <f>SUM(H58:H59,H50,H51:H54)</f>
        <v>164.18195999999998</v>
      </c>
      <c r="I65" s="128"/>
      <c r="J65" s="129"/>
      <c r="K65" s="129"/>
      <c r="L65" s="127">
        <f>SUM(L58:L59,L50,L51:L54)</f>
        <v>163.34025999999997</v>
      </c>
      <c r="M65" s="130"/>
      <c r="N65" s="131">
        <f t="shared" ref="N65:N67" si="18">L65-H65</f>
        <v>-0.841700000000003</v>
      </c>
      <c r="O65" s="104">
        <f t="shared" ref="O65:O67" si="19">IF((H65)=0,"",(N65/H65))</f>
        <v>-5.1266290157579017E-3</v>
      </c>
      <c r="Q65" s="130"/>
      <c r="R65" s="212"/>
      <c r="S65" s="130"/>
      <c r="T65" s="212"/>
      <c r="U65" s="130"/>
      <c r="V65" s="212"/>
      <c r="W65" s="130"/>
    </row>
    <row r="66" spans="1:23" s="85" customFormat="1" x14ac:dyDescent="0.2">
      <c r="B66" s="132" t="s">
        <v>43</v>
      </c>
      <c r="C66" s="79"/>
      <c r="D66" s="79"/>
      <c r="E66" s="79"/>
      <c r="F66" s="133">
        <v>0.13</v>
      </c>
      <c r="G66" s="126"/>
      <c r="H66" s="134">
        <f>H65*F66</f>
        <v>21.343654799999996</v>
      </c>
      <c r="I66" s="135"/>
      <c r="J66" s="136">
        <v>0.13</v>
      </c>
      <c r="K66" s="137"/>
      <c r="L66" s="138">
        <f>L65*J66</f>
        <v>21.234233799999998</v>
      </c>
      <c r="M66" s="139"/>
      <c r="N66" s="140">
        <f t="shared" si="18"/>
        <v>-0.10942099999999755</v>
      </c>
      <c r="O66" s="114">
        <f t="shared" si="19"/>
        <v>-5.1266290157577681E-3</v>
      </c>
      <c r="Q66" s="139"/>
      <c r="R66" s="212"/>
      <c r="S66" s="139"/>
      <c r="T66" s="212"/>
      <c r="U66" s="139"/>
      <c r="V66" s="212"/>
      <c r="W66" s="139"/>
    </row>
    <row r="67" spans="1:23" s="85" customFormat="1" ht="13.5" thickBot="1" x14ac:dyDescent="0.25">
      <c r="B67" s="141" t="s">
        <v>44</v>
      </c>
      <c r="C67" s="79"/>
      <c r="D67" s="79"/>
      <c r="E67" s="79"/>
      <c r="F67" s="142"/>
      <c r="G67" s="143"/>
      <c r="H67" s="127">
        <f>H65+H66</f>
        <v>185.52561479999997</v>
      </c>
      <c r="I67" s="135"/>
      <c r="J67" s="135"/>
      <c r="K67" s="135"/>
      <c r="L67" s="219">
        <f>L65+L66</f>
        <v>184.57449379999997</v>
      </c>
      <c r="M67" s="139"/>
      <c r="N67" s="131">
        <f t="shared" si="18"/>
        <v>-0.95112100000000055</v>
      </c>
      <c r="O67" s="104">
        <f t="shared" si="19"/>
        <v>-5.1266290157578861E-3</v>
      </c>
      <c r="Q67" s="139"/>
      <c r="R67" s="212"/>
      <c r="S67" s="139"/>
      <c r="T67" s="212"/>
      <c r="U67" s="139"/>
      <c r="V67" s="212"/>
      <c r="W67" s="139"/>
    </row>
    <row r="68" spans="1:23" s="85" customFormat="1" ht="8.25" customHeight="1" thickBot="1" x14ac:dyDescent="0.25">
      <c r="B68" s="117"/>
      <c r="C68" s="118"/>
      <c r="D68" s="119"/>
      <c r="E68" s="118"/>
      <c r="F68" s="144"/>
      <c r="G68" s="145"/>
      <c r="H68" s="146"/>
      <c r="I68" s="147"/>
      <c r="J68" s="144"/>
      <c r="K68" s="120"/>
      <c r="L68" s="148"/>
      <c r="M68" s="121"/>
      <c r="N68" s="149"/>
      <c r="O68" s="95"/>
      <c r="Q68" s="143"/>
      <c r="R68" s="212"/>
      <c r="S68" s="143"/>
      <c r="T68" s="212"/>
      <c r="U68" s="143"/>
      <c r="V68" s="212"/>
      <c r="W68" s="143"/>
    </row>
    <row r="69" spans="1:23" x14ac:dyDescent="0.2">
      <c r="L69" s="150"/>
    </row>
    <row r="70" spans="1:23" x14ac:dyDescent="0.2">
      <c r="B70" s="12" t="s">
        <v>46</v>
      </c>
      <c r="F70" s="151">
        <f>'Res (100)'!F70</f>
        <v>3.3500000000000002E-2</v>
      </c>
      <c r="J70" s="151">
        <f>+'Res (100)'!J70</f>
        <v>3.3500000000000002E-2</v>
      </c>
    </row>
    <row r="72" spans="1:23" ht="13.5" customHeight="1" x14ac:dyDescent="0.2">
      <c r="Q72" s="210"/>
      <c r="R72" s="210"/>
      <c r="S72" s="6"/>
      <c r="T72" s="6"/>
      <c r="U72" s="6"/>
      <c r="V72" s="6"/>
      <c r="W72" s="6"/>
    </row>
    <row r="73" spans="1:23" ht="12" customHeight="1" x14ac:dyDescent="0.2">
      <c r="A73" s="6" t="s">
        <v>47</v>
      </c>
      <c r="Q73" s="210"/>
      <c r="R73" s="210"/>
      <c r="S73" s="6"/>
      <c r="T73" s="6"/>
      <c r="U73" s="6"/>
      <c r="V73" s="6"/>
      <c r="W73" s="6"/>
    </row>
    <row r="74" spans="1:23" x14ac:dyDescent="0.2">
      <c r="A74" s="6" t="s">
        <v>48</v>
      </c>
      <c r="Q74" s="210"/>
      <c r="R74" s="210"/>
      <c r="S74" s="6"/>
      <c r="T74" s="6"/>
      <c r="U74" s="6"/>
      <c r="V74" s="6"/>
      <c r="W74" s="6"/>
    </row>
    <row r="75" spans="1:23" x14ac:dyDescent="0.2">
      <c r="Q75" s="210"/>
      <c r="R75" s="210"/>
      <c r="S75" s="6"/>
      <c r="T75" s="6"/>
      <c r="U75" s="6"/>
      <c r="V75" s="6"/>
      <c r="W75" s="6"/>
    </row>
    <row r="76" spans="1:23" x14ac:dyDescent="0.2">
      <c r="A76" s="153" t="s">
        <v>136</v>
      </c>
      <c r="Q76" s="210"/>
      <c r="R76" s="210"/>
      <c r="S76" s="6"/>
      <c r="T76" s="6"/>
      <c r="U76" s="6"/>
      <c r="V76" s="6"/>
      <c r="W76" s="6"/>
    </row>
    <row r="77" spans="1:23" x14ac:dyDescent="0.2">
      <c r="A77" s="11" t="s">
        <v>49</v>
      </c>
      <c r="Q77" s="210"/>
      <c r="R77" s="210"/>
      <c r="S77" s="6"/>
      <c r="T77" s="6"/>
      <c r="U77" s="6"/>
      <c r="V77" s="6"/>
      <c r="W77" s="6"/>
    </row>
    <row r="78" spans="1:23" x14ac:dyDescent="0.2">
      <c r="Q78" s="210"/>
      <c r="R78" s="210"/>
      <c r="S78" s="6"/>
      <c r="T78" s="6"/>
      <c r="U78" s="6"/>
      <c r="V78" s="6"/>
      <c r="W78" s="6"/>
    </row>
    <row r="79" spans="1:23" x14ac:dyDescent="0.2">
      <c r="A79" s="6" t="s">
        <v>135</v>
      </c>
      <c r="Q79" s="210"/>
      <c r="R79" s="210"/>
      <c r="S79" s="6"/>
      <c r="T79" s="6"/>
      <c r="U79" s="6"/>
      <c r="V79" s="6"/>
      <c r="W79" s="6"/>
    </row>
    <row r="80" spans="1:23" x14ac:dyDescent="0.2">
      <c r="A80" s="6" t="s">
        <v>50</v>
      </c>
      <c r="Q80" s="210"/>
      <c r="R80" s="210"/>
      <c r="S80" s="6"/>
      <c r="T80" s="6"/>
      <c r="U80" s="6"/>
      <c r="V80" s="6"/>
      <c r="W80" s="6"/>
    </row>
    <row r="81" spans="1:23" x14ac:dyDescent="0.2">
      <c r="A81" s="6" t="s">
        <v>51</v>
      </c>
      <c r="Q81" s="210"/>
      <c r="R81" s="210"/>
      <c r="S81" s="6"/>
      <c r="T81" s="6"/>
      <c r="U81" s="6"/>
      <c r="V81" s="6"/>
      <c r="W81" s="6"/>
    </row>
    <row r="82" spans="1:23" x14ac:dyDescent="0.2">
      <c r="A82" s="6" t="s">
        <v>52</v>
      </c>
      <c r="Q82" s="210"/>
      <c r="R82" s="210"/>
      <c r="S82" s="6"/>
      <c r="T82" s="6"/>
      <c r="U82" s="6"/>
      <c r="V82" s="6"/>
      <c r="W82" s="6"/>
    </row>
    <row r="83" spans="1:23" x14ac:dyDescent="0.2">
      <c r="A83" s="6" t="s">
        <v>53</v>
      </c>
      <c r="Q83" s="210"/>
      <c r="R83" s="210"/>
      <c r="S83" s="6"/>
      <c r="T83" s="6"/>
      <c r="U83" s="6"/>
      <c r="V83" s="6"/>
      <c r="W83" s="6"/>
    </row>
    <row r="84" spans="1:23" x14ac:dyDescent="0.2">
      <c r="Q84" s="210"/>
      <c r="R84" s="210"/>
      <c r="S84" s="6"/>
      <c r="T84" s="6"/>
      <c r="U84" s="6"/>
      <c r="V84" s="6"/>
      <c r="W84" s="6"/>
    </row>
    <row r="85" spans="1:23" x14ac:dyDescent="0.2">
      <c r="A85" s="152"/>
      <c r="B85" s="6" t="s">
        <v>54</v>
      </c>
      <c r="Q85" s="210"/>
      <c r="R85" s="210"/>
      <c r="S85" s="6"/>
      <c r="T85" s="6"/>
      <c r="U85" s="6"/>
      <c r="V85" s="6"/>
      <c r="W85" s="6"/>
    </row>
    <row r="86" spans="1:23" x14ac:dyDescent="0.2">
      <c r="Q86" s="210"/>
      <c r="R86" s="210"/>
      <c r="S86" s="6"/>
      <c r="T86" s="6"/>
      <c r="U86" s="6"/>
      <c r="V86" s="6"/>
      <c r="W86" s="6"/>
    </row>
    <row r="87" spans="1:23" x14ac:dyDescent="0.2">
      <c r="B87" s="153" t="s">
        <v>55</v>
      </c>
      <c r="Q87" s="210"/>
      <c r="R87" s="210"/>
      <c r="S87" s="6"/>
      <c r="T87" s="6"/>
      <c r="U87" s="6"/>
      <c r="V87" s="6"/>
      <c r="W87"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E48:E49 E68 E64 E23:E38 E40:E46 E51:E60">
      <formula1>#REF!</formula1>
    </dataValidation>
    <dataValidation type="list" allowBlank="1" showInputMessage="1" showErrorMessage="1" prompt="Select Charge Unit - monthly, per kWh, per kW" sqref="D68 D64 D23:D38 D48:D49 D40:D46 D51:D60">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60" fitToWidth="2" orientation="portrait" r:id="rId1"/>
  <headerFooter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nchor moveWithCells="1">
                  <from>
                    <xdr:col>1</xdr:col>
                    <xdr:colOff>1676400</xdr:colOff>
                    <xdr:row>7</xdr:row>
                    <xdr:rowOff>19050</xdr:rowOff>
                  </from>
                  <to>
                    <xdr:col>3</xdr:col>
                    <xdr:colOff>561975</xdr:colOff>
                    <xdr:row>7</xdr:row>
                    <xdr:rowOff>114300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3</xdr:col>
                    <xdr:colOff>514350</xdr:colOff>
                    <xdr:row>6</xdr:row>
                    <xdr:rowOff>152400</xdr:rowOff>
                  </from>
                  <to>
                    <xdr:col>6</xdr:col>
                    <xdr:colOff>590550</xdr:colOff>
                    <xdr:row>7</xdr:row>
                    <xdr:rowOff>161925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W87"/>
  <sheetViews>
    <sheetView showGridLines="0" view="pageBreakPreview" zoomScale="70" zoomScaleNormal="85" zoomScaleSheetLayoutView="70" workbookViewId="0">
      <selection activeCell="O41" sqref="O4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7.42578125" style="6" customWidth="1"/>
    <col min="7" max="7" width="9.85546875" style="6" bestFit="1" customWidth="1"/>
    <col min="8" max="8" width="12.7109375" style="6" bestFit="1" customWidth="1"/>
    <col min="9" max="9" width="2.85546875" style="6" customWidth="1"/>
    <col min="10" max="10" width="11.5703125" style="6" bestFit="1" customWidth="1"/>
    <col min="11" max="11" width="9.85546875" style="6" bestFit="1" customWidth="1"/>
    <col min="12" max="12" width="13" style="6" bestFit="1" customWidth="1"/>
    <col min="13" max="13" width="2.85546875" style="6" customWidth="1"/>
    <col min="14" max="14" width="11.85546875" style="6" bestFit="1"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7109375" style="211" bestFit="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45"/>
      <c r="O8" s="16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2</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1500</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+'Res (100)'!F23</f>
        <v>12.96</v>
      </c>
      <c r="G23" s="25">
        <v>1</v>
      </c>
      <c r="H23" s="26">
        <f>G23*F23</f>
        <v>12.96</v>
      </c>
      <c r="I23" s="27"/>
      <c r="J23" s="24">
        <f>+'Res (100)'!J23</f>
        <v>16.600000000000001</v>
      </c>
      <c r="K23" s="29">
        <v>1</v>
      </c>
      <c r="L23" s="26">
        <f>K23*J23</f>
        <v>16.600000000000001</v>
      </c>
      <c r="M23" s="27"/>
      <c r="N23" s="30">
        <f>L23-H23</f>
        <v>3.6400000000000006</v>
      </c>
      <c r="O23" s="31">
        <f>IF((H23)=0,"",(N23/H23))</f>
        <v>0.28086419753086422</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+'Res (100)'!F29</f>
        <v>1.9300000000000001E-2</v>
      </c>
      <c r="G29" s="25">
        <f>$F$18</f>
        <v>1500</v>
      </c>
      <c r="H29" s="26">
        <f t="shared" si="0"/>
        <v>28.950000000000003</v>
      </c>
      <c r="I29" s="27"/>
      <c r="J29" s="24">
        <f>+'Res (100)'!J29</f>
        <v>1.5100000000000001E-2</v>
      </c>
      <c r="K29" s="25">
        <f>$F$18</f>
        <v>1500</v>
      </c>
      <c r="L29" s="26">
        <f t="shared" si="1"/>
        <v>22.650000000000002</v>
      </c>
      <c r="M29" s="27"/>
      <c r="N29" s="30">
        <f t="shared" si="2"/>
        <v>-6.3000000000000007</v>
      </c>
      <c r="O29" s="31">
        <f t="shared" si="3"/>
        <v>-0.21761658031088082</v>
      </c>
      <c r="Q29" s="107"/>
      <c r="S29" s="107"/>
      <c r="U29" s="107"/>
      <c r="W29" s="107"/>
    </row>
    <row r="30" spans="2:23" x14ac:dyDescent="0.2">
      <c r="B30" s="21" t="s">
        <v>22</v>
      </c>
      <c r="C30" s="21"/>
      <c r="D30" s="22"/>
      <c r="E30" s="23"/>
      <c r="F30" s="24"/>
      <c r="G30" s="25">
        <f t="shared" ref="G30" si="4">$F$18</f>
        <v>1500</v>
      </c>
      <c r="H30" s="26">
        <f t="shared" si="0"/>
        <v>0</v>
      </c>
      <c r="I30" s="27"/>
      <c r="J30" s="24"/>
      <c r="K30" s="25">
        <f t="shared" ref="K30:K38" si="5">$F$18</f>
        <v>1500</v>
      </c>
      <c r="L30" s="26">
        <f t="shared" si="1"/>
        <v>0</v>
      </c>
      <c r="M30" s="27"/>
      <c r="N30" s="30">
        <f t="shared" si="2"/>
        <v>0</v>
      </c>
      <c r="O30" s="31" t="str">
        <f t="shared" si="3"/>
        <v/>
      </c>
      <c r="Q30" s="107"/>
      <c r="S30" s="107"/>
      <c r="U30" s="107"/>
      <c r="W30" s="107"/>
    </row>
    <row r="31" spans="2:23" x14ac:dyDescent="0.2">
      <c r="B31" s="21" t="s">
        <v>23</v>
      </c>
      <c r="C31" s="21"/>
      <c r="D31" s="22" t="s">
        <v>21</v>
      </c>
      <c r="E31" s="23"/>
      <c r="F31" s="50">
        <f>+'Res (100)'!F31</f>
        <v>-2.0000000000000002E-5</v>
      </c>
      <c r="G31" s="25">
        <f>$F$18</f>
        <v>1500</v>
      </c>
      <c r="H31" s="26">
        <f t="shared" si="0"/>
        <v>-3.0000000000000002E-2</v>
      </c>
      <c r="I31" s="27"/>
      <c r="J31" s="52">
        <f>+'Res (100)'!J31</f>
        <v>0</v>
      </c>
      <c r="K31" s="25">
        <f t="shared" si="5"/>
        <v>1500</v>
      </c>
      <c r="L31" s="26">
        <f t="shared" si="1"/>
        <v>0</v>
      </c>
      <c r="M31" s="27"/>
      <c r="N31" s="30">
        <f t="shared" si="2"/>
        <v>3.0000000000000002E-2</v>
      </c>
      <c r="O31" s="31">
        <f t="shared" si="3"/>
        <v>-1</v>
      </c>
      <c r="Q31" s="107"/>
      <c r="S31" s="107"/>
      <c r="U31" s="107"/>
      <c r="W31" s="107"/>
    </row>
    <row r="32" spans="2:23" x14ac:dyDescent="0.2">
      <c r="B32" s="33"/>
      <c r="C32" s="21"/>
      <c r="D32" s="22"/>
      <c r="E32" s="23"/>
      <c r="F32" s="24"/>
      <c r="G32" s="25">
        <f t="shared" ref="G32:G38" si="6">$F$18</f>
        <v>1500</v>
      </c>
      <c r="H32" s="26">
        <f t="shared" si="0"/>
        <v>0</v>
      </c>
      <c r="I32" s="27"/>
      <c r="J32" s="28"/>
      <c r="K32" s="25">
        <f t="shared" si="5"/>
        <v>1500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1500</v>
      </c>
      <c r="H33" s="26">
        <f t="shared" si="0"/>
        <v>0</v>
      </c>
      <c r="I33" s="27"/>
      <c r="J33" s="28"/>
      <c r="K33" s="25">
        <f t="shared" si="5"/>
        <v>1500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1500</v>
      </c>
      <c r="H34" s="26">
        <f t="shared" si="0"/>
        <v>0</v>
      </c>
      <c r="I34" s="27"/>
      <c r="J34" s="28"/>
      <c r="K34" s="25">
        <f t="shared" si="5"/>
        <v>1500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1500</v>
      </c>
      <c r="H35" s="26">
        <f t="shared" si="0"/>
        <v>0</v>
      </c>
      <c r="I35" s="27"/>
      <c r="J35" s="28"/>
      <c r="K35" s="25">
        <f t="shared" si="5"/>
        <v>1500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1500</v>
      </c>
      <c r="H36" s="26">
        <f t="shared" si="0"/>
        <v>0</v>
      </c>
      <c r="I36" s="27"/>
      <c r="J36" s="28"/>
      <c r="K36" s="25">
        <f t="shared" si="5"/>
        <v>1500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1500</v>
      </c>
      <c r="H37" s="26">
        <f t="shared" si="0"/>
        <v>0</v>
      </c>
      <c r="I37" s="27"/>
      <c r="J37" s="28"/>
      <c r="K37" s="25">
        <f t="shared" si="5"/>
        <v>1500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1500</v>
      </c>
      <c r="H38" s="26">
        <f t="shared" si="0"/>
        <v>0</v>
      </c>
      <c r="I38" s="27"/>
      <c r="J38" s="28"/>
      <c r="K38" s="25">
        <f t="shared" si="5"/>
        <v>1500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41.88</v>
      </c>
      <c r="I39" s="40"/>
      <c r="J39" s="41"/>
      <c r="K39" s="42"/>
      <c r="L39" s="39">
        <f>SUM(L23:L38)</f>
        <v>39.25</v>
      </c>
      <c r="M39" s="40"/>
      <c r="N39" s="43">
        <f t="shared" si="2"/>
        <v>-2.6300000000000026</v>
      </c>
      <c r="O39" s="44">
        <f t="shared" si="3"/>
        <v>-6.2798471824259849E-2</v>
      </c>
      <c r="Q39" s="107"/>
      <c r="R39" s="211"/>
      <c r="S39" s="107"/>
      <c r="T39" s="211"/>
      <c r="U39" s="107"/>
      <c r="V39" s="211"/>
      <c r="W39" s="107"/>
    </row>
    <row r="40" spans="2:23" ht="38.25" x14ac:dyDescent="0.2">
      <c r="B40" s="46" t="str">
        <f>+'Res (100)'!B40</f>
        <v>Deferral/Variance Account Disposition Rate Rider Group 1</v>
      </c>
      <c r="C40" s="21"/>
      <c r="D40" s="22" t="s">
        <v>21</v>
      </c>
      <c r="E40" s="23"/>
      <c r="F40" s="24">
        <f>'Res (100)'!F40</f>
        <v>-8.2600000000000002E-4</v>
      </c>
      <c r="G40" s="25">
        <f>$F$18</f>
        <v>1500</v>
      </c>
      <c r="H40" s="26">
        <f>G40*F40</f>
        <v>-1.2390000000000001</v>
      </c>
      <c r="I40" s="27"/>
      <c r="J40" s="28">
        <f>+'Res (100)'!J40</f>
        <v>-1E-4</v>
      </c>
      <c r="K40" s="25">
        <f>$F$18</f>
        <v>1500</v>
      </c>
      <c r="L40" s="26">
        <f>K40*J40</f>
        <v>-0.15</v>
      </c>
      <c r="M40" s="27"/>
      <c r="N40" s="30">
        <f>L40-H40</f>
        <v>1.0890000000000002</v>
      </c>
      <c r="O40" s="31">
        <f>IF((H40)=0,"",(N40/H40))</f>
        <v>-0.87893462469733663</v>
      </c>
      <c r="Q40" s="107"/>
      <c r="S40" s="107"/>
      <c r="U40" s="107"/>
      <c r="W40" s="107"/>
    </row>
    <row r="41" spans="2:23" ht="38.25" x14ac:dyDescent="0.2">
      <c r="B41" s="46" t="str">
        <f>+'Res (100)'!B41</f>
        <v>Deferral/Variance Account Disposition Rate Rider Group 2</v>
      </c>
      <c r="C41" s="21"/>
      <c r="D41" s="22" t="s">
        <v>18</v>
      </c>
      <c r="E41" s="23"/>
      <c r="F41" s="24">
        <f>'Res (100)'!F41</f>
        <v>0.32</v>
      </c>
      <c r="G41" s="25">
        <v>1</v>
      </c>
      <c r="H41" s="26">
        <f t="shared" ref="H41:H45" si="7">G41*F41</f>
        <v>0.32</v>
      </c>
      <c r="I41" s="47"/>
      <c r="J41" s="28">
        <f>+'Res (100)'!J41</f>
        <v>0.02</v>
      </c>
      <c r="K41" s="25">
        <v>1</v>
      </c>
      <c r="L41" s="26">
        <f t="shared" ref="L41:L45" si="8">K41*J41</f>
        <v>0.02</v>
      </c>
      <c r="M41" s="48"/>
      <c r="N41" s="30">
        <f t="shared" ref="N41:N45" si="9">L41-H41</f>
        <v>-0.3</v>
      </c>
      <c r="O41" s="31">
        <f t="shared" ref="O41:O63" si="10">IF((H41)=0,"",(N41/H41))</f>
        <v>-0.9375</v>
      </c>
      <c r="Q41" s="107"/>
      <c r="S41" s="107"/>
      <c r="U41" s="107"/>
      <c r="W41" s="107"/>
    </row>
    <row r="42" spans="2:23" ht="38.25" x14ac:dyDescent="0.2">
      <c r="B42" s="46" t="str">
        <f>+'Res (100)'!B42</f>
        <v>Deferral / Variance Accounts Balances (excluding Global Adj.) - NON-WMP</v>
      </c>
      <c r="C42" s="21"/>
      <c r="D42" s="22" t="s">
        <v>21</v>
      </c>
      <c r="E42" s="23"/>
      <c r="F42" s="24">
        <f>'Res (232)'!F42</f>
        <v>-1.5089999999999999E-3</v>
      </c>
      <c r="G42" s="25">
        <f t="shared" ref="G42:G43" si="11">$F$18</f>
        <v>1500</v>
      </c>
      <c r="H42" s="26">
        <f t="shared" si="7"/>
        <v>-2.2635000000000001</v>
      </c>
      <c r="I42" s="47"/>
      <c r="J42" s="28">
        <f>+'Res (100)'!J42</f>
        <v>-2.3E-3</v>
      </c>
      <c r="K42" s="25">
        <f t="shared" ref="K42:K43" si="12">$F$18</f>
        <v>1500</v>
      </c>
      <c r="L42" s="26">
        <f t="shared" si="8"/>
        <v>-3.4499999999999997</v>
      </c>
      <c r="M42" s="48"/>
      <c r="N42" s="30">
        <f t="shared" si="9"/>
        <v>-1.1864999999999997</v>
      </c>
      <c r="O42" s="31">
        <f t="shared" si="10"/>
        <v>0.52418820410868106</v>
      </c>
      <c r="Q42" s="107"/>
      <c r="S42" s="107"/>
      <c r="U42" s="107"/>
      <c r="W42" s="107"/>
    </row>
    <row r="43" spans="2:23" ht="38.25" x14ac:dyDescent="0.2">
      <c r="B43" s="46" t="s">
        <v>128</v>
      </c>
      <c r="C43" s="21"/>
      <c r="D43" s="22" t="s">
        <v>21</v>
      </c>
      <c r="E43" s="23"/>
      <c r="F43" s="24">
        <f>+'Res (100)'!F43</f>
        <v>0</v>
      </c>
      <c r="G43" s="25">
        <f t="shared" si="11"/>
        <v>1500</v>
      </c>
      <c r="H43" s="26">
        <f t="shared" si="7"/>
        <v>0</v>
      </c>
      <c r="I43" s="47"/>
      <c r="J43" s="233">
        <f>+'Res (100)'!J43</f>
        <v>2.7E-4</v>
      </c>
      <c r="K43" s="25">
        <f t="shared" si="12"/>
        <v>1500</v>
      </c>
      <c r="L43" s="26">
        <f t="shared" si="8"/>
        <v>0.40500000000000003</v>
      </c>
      <c r="M43" s="48"/>
      <c r="N43" s="30">
        <f t="shared" si="9"/>
        <v>0.40500000000000003</v>
      </c>
      <c r="O43" s="31" t="str">
        <f t="shared" si="10"/>
        <v/>
      </c>
      <c r="Q43" s="107"/>
      <c r="S43" s="107"/>
      <c r="U43" s="107"/>
      <c r="W43" s="107"/>
    </row>
    <row r="44" spans="2:23" x14ac:dyDescent="0.2">
      <c r="B44" s="49" t="s">
        <v>26</v>
      </c>
      <c r="C44" s="21"/>
      <c r="D44" s="22" t="s">
        <v>21</v>
      </c>
      <c r="E44" s="23"/>
      <c r="F44" s="50">
        <f>'Res (100)'!F44</f>
        <v>6.9999999999999994E-5</v>
      </c>
      <c r="G44" s="51">
        <f>$F$18*(1+F70)</f>
        <v>1550.2500000000002</v>
      </c>
      <c r="H44" s="26">
        <f>G44*F44</f>
        <v>0.1085175</v>
      </c>
      <c r="I44" s="27"/>
      <c r="J44" s="52">
        <f>'Res (100)'!J44</f>
        <v>6.9999999999999994E-5</v>
      </c>
      <c r="K44" s="51">
        <f>$F$18*(1+J70)</f>
        <v>1550.2500000000002</v>
      </c>
      <c r="L44" s="26">
        <f>K44*J44</f>
        <v>0.1085175</v>
      </c>
      <c r="M44" s="27"/>
      <c r="N44" s="30">
        <f>L44-H44</f>
        <v>0</v>
      </c>
      <c r="O44" s="31">
        <f>IF((H44)=0,"",(N44/H44))</f>
        <v>0</v>
      </c>
      <c r="Q44" s="107"/>
      <c r="S44" s="107"/>
      <c r="U44" s="107"/>
      <c r="W44" s="107"/>
    </row>
    <row r="45" spans="2:23" x14ac:dyDescent="0.2">
      <c r="B45" s="49" t="s">
        <v>27</v>
      </c>
      <c r="C45" s="21"/>
      <c r="D45" s="22"/>
      <c r="E45" s="23"/>
      <c r="F45" s="53">
        <f>IF(ISBLANK(D16)=TRUE, 0, IF(D16="TOU", 0.65*$F$55+0.17*$F$56+0.18*$F$57, IF(AND(D16="non-TOU", G59&gt;0), F59,F58)))</f>
        <v>0.11139</v>
      </c>
      <c r="G45" s="54">
        <f>$F$18*(1+$F$70)-$F$18</f>
        <v>50.250000000000227</v>
      </c>
      <c r="H45" s="26">
        <f t="shared" si="7"/>
        <v>5.5973475000000255</v>
      </c>
      <c r="I45" s="27"/>
      <c r="J45" s="55">
        <f>0.65*$J$55+0.17*$J$56+0.18*$J$57</f>
        <v>0.11139</v>
      </c>
      <c r="K45" s="54">
        <f>$F$18*(1+$J$70)-$F$18</f>
        <v>50.250000000000227</v>
      </c>
      <c r="L45" s="26">
        <f t="shared" si="8"/>
        <v>5.5973475000000255</v>
      </c>
      <c r="M45" s="27"/>
      <c r="N45" s="30">
        <f t="shared" si="9"/>
        <v>0</v>
      </c>
      <c r="O45" s="31">
        <f t="shared" si="10"/>
        <v>0</v>
      </c>
      <c r="Q45" s="107"/>
      <c r="S45" s="107"/>
      <c r="U45" s="107"/>
      <c r="W45" s="107"/>
    </row>
    <row r="46" spans="2:23" x14ac:dyDescent="0.2">
      <c r="B46" s="49" t="s">
        <v>28</v>
      </c>
      <c r="C46" s="21"/>
      <c r="D46" s="22" t="s">
        <v>18</v>
      </c>
      <c r="E46" s="23"/>
      <c r="F46" s="53">
        <f>'Res (100)'!F46</f>
        <v>0.79</v>
      </c>
      <c r="G46" s="25">
        <v>1</v>
      </c>
      <c r="H46" s="26">
        <f>G46*F46</f>
        <v>0.79</v>
      </c>
      <c r="I46" s="27"/>
      <c r="J46" s="53">
        <f>'Res (100)'!J46</f>
        <v>0.79</v>
      </c>
      <c r="K46" s="25">
        <v>1</v>
      </c>
      <c r="L46" s="26">
        <f>K46*J46</f>
        <v>0.79</v>
      </c>
      <c r="M46" s="27"/>
      <c r="N46" s="30">
        <f>L46-H46</f>
        <v>0</v>
      </c>
      <c r="O46" s="31">
        <f t="shared" si="10"/>
        <v>0</v>
      </c>
      <c r="Q46" s="107"/>
      <c r="S46" s="107"/>
      <c r="U46" s="107"/>
      <c r="W46" s="107"/>
    </row>
    <row r="47" spans="2:23" ht="25.5" x14ac:dyDescent="0.2">
      <c r="B47" s="56" t="s">
        <v>29</v>
      </c>
      <c r="C47" s="57"/>
      <c r="D47" s="57"/>
      <c r="E47" s="57"/>
      <c r="F47" s="58"/>
      <c r="G47" s="59"/>
      <c r="H47" s="60">
        <f>SUM(H40:H46)+H39</f>
        <v>45.193365000000028</v>
      </c>
      <c r="I47" s="40"/>
      <c r="J47" s="59"/>
      <c r="K47" s="61"/>
      <c r="L47" s="60">
        <f>SUM(L40:L46)+L39</f>
        <v>42.570865000000026</v>
      </c>
      <c r="M47" s="40"/>
      <c r="N47" s="43">
        <f t="shared" ref="N47:N63" si="13">L47-H47</f>
        <v>-2.6225000000000023</v>
      </c>
      <c r="O47" s="44">
        <f t="shared" si="10"/>
        <v>-5.8028429615719045E-2</v>
      </c>
      <c r="Q47" s="107"/>
      <c r="S47" s="107"/>
      <c r="U47" s="107"/>
      <c r="W47" s="107"/>
    </row>
    <row r="48" spans="2:23" x14ac:dyDescent="0.2">
      <c r="B48" s="27" t="s">
        <v>30</v>
      </c>
      <c r="C48" s="27"/>
      <c r="D48" s="62" t="s">
        <v>21</v>
      </c>
      <c r="E48" s="63"/>
      <c r="F48" s="28">
        <f>'Res (100)'!F48</f>
        <v>7.6E-3</v>
      </c>
      <c r="G48" s="64">
        <f>F18*(1+F70)</f>
        <v>1550.2500000000002</v>
      </c>
      <c r="H48" s="26">
        <f>G48*F48</f>
        <v>11.781900000000002</v>
      </c>
      <c r="I48" s="27"/>
      <c r="J48" s="28">
        <f>'Res (100)'!J48</f>
        <v>7.4000000000000003E-3</v>
      </c>
      <c r="K48" s="65">
        <f>F18*(1+J70)</f>
        <v>1550.2500000000002</v>
      </c>
      <c r="L48" s="26">
        <f>K48*J48</f>
        <v>11.471850000000002</v>
      </c>
      <c r="M48" s="27"/>
      <c r="N48" s="30">
        <f t="shared" si="13"/>
        <v>-0.31005000000000038</v>
      </c>
      <c r="O48" s="31">
        <f t="shared" si="10"/>
        <v>-2.6315789473684237E-2</v>
      </c>
      <c r="Q48" s="107"/>
      <c r="S48" s="107"/>
      <c r="U48" s="107"/>
      <c r="W48" s="107"/>
    </row>
    <row r="49" spans="2:23" ht="25.5" x14ac:dyDescent="0.2">
      <c r="B49" s="66" t="s">
        <v>31</v>
      </c>
      <c r="C49" s="27"/>
      <c r="D49" s="62" t="s">
        <v>21</v>
      </c>
      <c r="E49" s="63"/>
      <c r="F49" s="28">
        <f>'Res (100)'!F49</f>
        <v>4.7000000000000002E-3</v>
      </c>
      <c r="G49" s="64">
        <f>G48</f>
        <v>1550.2500000000002</v>
      </c>
      <c r="H49" s="26">
        <f>G49*F49</f>
        <v>7.286175000000001</v>
      </c>
      <c r="I49" s="27"/>
      <c r="J49" s="28">
        <f>'Res (100)'!J49</f>
        <v>4.7000000000000002E-3</v>
      </c>
      <c r="K49" s="65">
        <f>K48</f>
        <v>1550.2500000000002</v>
      </c>
      <c r="L49" s="26">
        <f>K49*J49</f>
        <v>7.286175000000001</v>
      </c>
      <c r="M49" s="27"/>
      <c r="N49" s="30">
        <f t="shared" si="13"/>
        <v>0</v>
      </c>
      <c r="O49" s="31">
        <f t="shared" si="10"/>
        <v>0</v>
      </c>
      <c r="Q49" s="107"/>
      <c r="S49" s="107"/>
      <c r="U49" s="107"/>
      <c r="W49" s="107"/>
    </row>
    <row r="50" spans="2:23" ht="25.5" x14ac:dyDescent="0.2">
      <c r="B50" s="56" t="s">
        <v>32</v>
      </c>
      <c r="C50" s="35"/>
      <c r="D50" s="35"/>
      <c r="E50" s="35"/>
      <c r="F50" s="67"/>
      <c r="G50" s="59"/>
      <c r="H50" s="60">
        <f>SUM(H47:H49)</f>
        <v>64.261440000000036</v>
      </c>
      <c r="I50" s="68"/>
      <c r="J50" s="69"/>
      <c r="K50" s="70"/>
      <c r="L50" s="60">
        <f>SUM(L47:L49)</f>
        <v>61.32889000000003</v>
      </c>
      <c r="M50" s="68"/>
      <c r="N50" s="43">
        <f t="shared" si="13"/>
        <v>-2.9325500000000062</v>
      </c>
      <c r="O50" s="44">
        <f t="shared" si="10"/>
        <v>-4.5634676098139176E-2</v>
      </c>
      <c r="Q50" s="102"/>
      <c r="S50" s="102"/>
      <c r="U50" s="102"/>
      <c r="W50" s="102"/>
    </row>
    <row r="51" spans="2:23" ht="25.5" x14ac:dyDescent="0.2">
      <c r="B51" s="71" t="s">
        <v>33</v>
      </c>
      <c r="C51" s="21"/>
      <c r="D51" s="22" t="s">
        <v>21</v>
      </c>
      <c r="E51" s="23"/>
      <c r="F51" s="72">
        <f>'Res (100)'!F51</f>
        <v>3.5999999999999999E-3</v>
      </c>
      <c r="G51" s="64">
        <f>G49</f>
        <v>1550.2500000000002</v>
      </c>
      <c r="H51" s="73">
        <f t="shared" ref="H51:H57" si="14">G51*F51</f>
        <v>5.5809000000000006</v>
      </c>
      <c r="I51" s="27"/>
      <c r="J51" s="72">
        <f>F51</f>
        <v>3.5999999999999999E-3</v>
      </c>
      <c r="K51" s="65">
        <f>K49</f>
        <v>1550.2500000000002</v>
      </c>
      <c r="L51" s="73">
        <f t="shared" ref="L51:L57" si="15">K51*J51</f>
        <v>5.5809000000000006</v>
      </c>
      <c r="M51" s="27"/>
      <c r="N51" s="30">
        <f t="shared" si="13"/>
        <v>0</v>
      </c>
      <c r="O51" s="74">
        <f t="shared" si="10"/>
        <v>0</v>
      </c>
      <c r="Q51" s="107"/>
      <c r="S51" s="107"/>
      <c r="U51" s="107"/>
      <c r="W51" s="107"/>
    </row>
    <row r="52" spans="2:23" ht="25.5" x14ac:dyDescent="0.2">
      <c r="B52" s="71" t="s">
        <v>34</v>
      </c>
      <c r="C52" s="21"/>
      <c r="D52" s="22" t="s">
        <v>21</v>
      </c>
      <c r="E52" s="23"/>
      <c r="F52" s="72">
        <f>'Res (100)'!F52</f>
        <v>1.2999999999999999E-3</v>
      </c>
      <c r="G52" s="64">
        <f>G49</f>
        <v>1550.2500000000002</v>
      </c>
      <c r="H52" s="73">
        <f t="shared" si="14"/>
        <v>2.0153250000000003</v>
      </c>
      <c r="I52" s="27"/>
      <c r="J52" s="72">
        <f>F52</f>
        <v>1.2999999999999999E-3</v>
      </c>
      <c r="K52" s="65">
        <f>K49</f>
        <v>1550.2500000000002</v>
      </c>
      <c r="L52" s="73">
        <f t="shared" si="15"/>
        <v>2.0153250000000003</v>
      </c>
      <c r="M52" s="27"/>
      <c r="N52" s="30">
        <f t="shared" si="13"/>
        <v>0</v>
      </c>
      <c r="O52" s="74">
        <f t="shared" si="10"/>
        <v>0</v>
      </c>
      <c r="Q52" s="107"/>
      <c r="S52" s="107"/>
      <c r="U52" s="107"/>
      <c r="W52" s="107"/>
    </row>
    <row r="53" spans="2:23" x14ac:dyDescent="0.2">
      <c r="B53" s="21" t="s">
        <v>35</v>
      </c>
      <c r="C53" s="21"/>
      <c r="D53" s="22" t="s">
        <v>18</v>
      </c>
      <c r="E53" s="23"/>
      <c r="F53" s="72">
        <f>'Res (100)'!F53</f>
        <v>0.25</v>
      </c>
      <c r="G53" s="25">
        <v>1</v>
      </c>
      <c r="H53" s="73">
        <f t="shared" si="14"/>
        <v>0.25</v>
      </c>
      <c r="I53" s="27"/>
      <c r="J53" s="72">
        <f>F53</f>
        <v>0.25</v>
      </c>
      <c r="K53" s="29">
        <v>1</v>
      </c>
      <c r="L53" s="73">
        <f t="shared" si="15"/>
        <v>0.25</v>
      </c>
      <c r="M53" s="27"/>
      <c r="N53" s="30">
        <f t="shared" si="13"/>
        <v>0</v>
      </c>
      <c r="O53" s="74">
        <f t="shared" si="10"/>
        <v>0</v>
      </c>
      <c r="Q53" s="107"/>
      <c r="S53" s="107"/>
      <c r="U53" s="107"/>
      <c r="W53" s="107"/>
    </row>
    <row r="54" spans="2:23" x14ac:dyDescent="0.2">
      <c r="B54" s="21" t="s">
        <v>122</v>
      </c>
      <c r="C54" s="21"/>
      <c r="D54" s="22"/>
      <c r="E54" s="23"/>
      <c r="F54" s="72">
        <f>'Res (100)'!F54</f>
        <v>1.1000000000000001E-3</v>
      </c>
      <c r="G54" s="64">
        <f>$F$18*(1+F70)</f>
        <v>1550.2500000000002</v>
      </c>
      <c r="H54" s="73">
        <f>G54*F54</f>
        <v>1.7052750000000003</v>
      </c>
      <c r="I54" s="27"/>
      <c r="J54" s="72">
        <f>'Res (100)'!J54</f>
        <v>1.1000000000000001E-3</v>
      </c>
      <c r="K54" s="75">
        <f>$F$18*(1+J70)</f>
        <v>1550.2500000000002</v>
      </c>
      <c r="L54" s="73">
        <f>K54*J54</f>
        <v>1.7052750000000003</v>
      </c>
      <c r="M54" s="27"/>
      <c r="N54" s="30"/>
      <c r="O54" s="74"/>
      <c r="Q54" s="107"/>
      <c r="S54" s="107"/>
      <c r="U54" s="107"/>
      <c r="W54" s="107"/>
    </row>
    <row r="55" spans="2:23" x14ac:dyDescent="0.2">
      <c r="B55" s="49" t="s">
        <v>37</v>
      </c>
      <c r="C55" s="21"/>
      <c r="D55" s="22"/>
      <c r="E55" s="23"/>
      <c r="F55" s="72">
        <f>'Res (100)'!F55</f>
        <v>8.6999999999999994E-2</v>
      </c>
      <c r="G55" s="77">
        <f>0.65*$F$18</f>
        <v>975</v>
      </c>
      <c r="H55" s="73">
        <f t="shared" si="14"/>
        <v>84.824999999999989</v>
      </c>
      <c r="I55" s="27"/>
      <c r="J55" s="72">
        <f>F55</f>
        <v>8.6999999999999994E-2</v>
      </c>
      <c r="K55" s="77">
        <f>$G$55</f>
        <v>975</v>
      </c>
      <c r="L55" s="73">
        <f t="shared" si="15"/>
        <v>84.824999999999989</v>
      </c>
      <c r="M55" s="27"/>
      <c r="N55" s="30">
        <f t="shared" si="13"/>
        <v>0</v>
      </c>
      <c r="O55" s="74">
        <f t="shared" si="10"/>
        <v>0</v>
      </c>
      <c r="Q55" s="107"/>
      <c r="S55" s="107"/>
      <c r="U55" s="107"/>
      <c r="W55" s="107"/>
    </row>
    <row r="56" spans="2:23" x14ac:dyDescent="0.2">
      <c r="B56" s="49" t="s">
        <v>38</v>
      </c>
      <c r="C56" s="21"/>
      <c r="D56" s="22"/>
      <c r="E56" s="23"/>
      <c r="F56" s="72">
        <f>'Res (100)'!F56</f>
        <v>0.13200000000000001</v>
      </c>
      <c r="G56" s="77">
        <f>0.17*$F$18</f>
        <v>255.00000000000003</v>
      </c>
      <c r="H56" s="73">
        <f t="shared" si="14"/>
        <v>33.660000000000004</v>
      </c>
      <c r="I56" s="27"/>
      <c r="J56" s="72">
        <f>F56</f>
        <v>0.13200000000000001</v>
      </c>
      <c r="K56" s="77">
        <f>$G$56</f>
        <v>255.00000000000003</v>
      </c>
      <c r="L56" s="73">
        <f t="shared" si="15"/>
        <v>33.660000000000004</v>
      </c>
      <c r="M56" s="27"/>
      <c r="N56" s="30">
        <f t="shared" si="13"/>
        <v>0</v>
      </c>
      <c r="O56" s="74">
        <f t="shared" si="10"/>
        <v>0</v>
      </c>
      <c r="Q56" s="107"/>
      <c r="S56" s="107"/>
      <c r="U56" s="107"/>
      <c r="W56" s="107"/>
    </row>
    <row r="57" spans="2:23" x14ac:dyDescent="0.2">
      <c r="B57" s="11" t="s">
        <v>39</v>
      </c>
      <c r="C57" s="21"/>
      <c r="D57" s="22"/>
      <c r="E57" s="23"/>
      <c r="F57" s="72">
        <f>'Res (100)'!F57</f>
        <v>0.18</v>
      </c>
      <c r="G57" s="77">
        <f>0.18*$F$18</f>
        <v>270</v>
      </c>
      <c r="H57" s="73">
        <f t="shared" si="14"/>
        <v>48.6</v>
      </c>
      <c r="I57" s="27"/>
      <c r="J57" s="72">
        <f>F57</f>
        <v>0.18</v>
      </c>
      <c r="K57" s="77">
        <f>$G$57</f>
        <v>270</v>
      </c>
      <c r="L57" s="73">
        <f t="shared" si="15"/>
        <v>48.6</v>
      </c>
      <c r="M57" s="27"/>
      <c r="N57" s="30">
        <f t="shared" si="13"/>
        <v>0</v>
      </c>
      <c r="O57" s="74">
        <f t="shared" si="10"/>
        <v>0</v>
      </c>
      <c r="Q57" s="107"/>
      <c r="S57" s="107"/>
      <c r="U57" s="107"/>
      <c r="W57" s="107"/>
    </row>
    <row r="58" spans="2:23" s="85" customFormat="1" x14ac:dyDescent="0.2">
      <c r="B58" s="78" t="s">
        <v>40</v>
      </c>
      <c r="C58" s="79"/>
      <c r="D58" s="80"/>
      <c r="E58" s="81"/>
      <c r="F58" s="72">
        <f>'Res (100)'!F58</f>
        <v>0.10299999999999999</v>
      </c>
      <c r="G58" s="82">
        <f>IF(AND($Q$1=1, F18&gt;=600), 600, IF(AND($Q$1=1, AND(F18&lt;600, F18&gt;=0)), F18, IF(AND($Q$1=2, F18&gt;=1000), 1000, IF(AND($Q$1=2, AND(F18&lt;1000, F18&gt;=0)), F18))))</f>
        <v>600</v>
      </c>
      <c r="H58" s="73">
        <f>G58*F58</f>
        <v>61.8</v>
      </c>
      <c r="I58" s="83"/>
      <c r="J58" s="72">
        <f>F58</f>
        <v>0.10299999999999999</v>
      </c>
      <c r="K58" s="82">
        <f>$G$58</f>
        <v>600</v>
      </c>
      <c r="L58" s="73">
        <f>K58*J58</f>
        <v>61.8</v>
      </c>
      <c r="M58" s="83"/>
      <c r="N58" s="84">
        <f t="shared" si="13"/>
        <v>0</v>
      </c>
      <c r="O58" s="74">
        <f t="shared" si="10"/>
        <v>0</v>
      </c>
      <c r="Q58" s="143"/>
      <c r="R58" s="212"/>
      <c r="S58" s="143"/>
      <c r="T58" s="212"/>
      <c r="U58" s="143"/>
      <c r="V58" s="212"/>
      <c r="W58" s="143"/>
    </row>
    <row r="59" spans="2:23" s="85" customFormat="1" ht="13.5" thickBot="1" x14ac:dyDescent="0.25">
      <c r="B59" s="78" t="s">
        <v>41</v>
      </c>
      <c r="C59" s="79"/>
      <c r="D59" s="80"/>
      <c r="E59" s="81"/>
      <c r="F59" s="72">
        <f>'Res (100)'!F59</f>
        <v>0.121</v>
      </c>
      <c r="G59" s="82">
        <f>IF(AND($Q$1=1, F18&gt;=600), F18-600, IF(AND($Q$1=1, AND(F18&lt;600, F18&gt;=0)), 0, IF(AND($Q$1=2, F18&gt;=1000), F18-1000, IF(AND($Q$1=2, AND(F18&lt;1000, F18&gt;=0)), 0))))</f>
        <v>900</v>
      </c>
      <c r="H59" s="73">
        <f>G59*F59</f>
        <v>108.89999999999999</v>
      </c>
      <c r="I59" s="83"/>
      <c r="J59" s="72">
        <f>F59</f>
        <v>0.121</v>
      </c>
      <c r="K59" s="82">
        <f>$G$59</f>
        <v>900</v>
      </c>
      <c r="L59" s="73">
        <f>K59*J59</f>
        <v>108.89999999999999</v>
      </c>
      <c r="M59" s="83"/>
      <c r="N59" s="84">
        <f t="shared" si="13"/>
        <v>0</v>
      </c>
      <c r="O59" s="74">
        <f t="shared" si="10"/>
        <v>0</v>
      </c>
      <c r="Q59" s="143"/>
      <c r="R59" s="212"/>
      <c r="S59" s="143"/>
      <c r="T59" s="212"/>
      <c r="U59" s="143"/>
      <c r="V59" s="212"/>
      <c r="W59" s="143"/>
    </row>
    <row r="60" spans="2:23" ht="8.25" customHeight="1" thickBot="1" x14ac:dyDescent="0.25">
      <c r="B60" s="86"/>
      <c r="C60" s="87"/>
      <c r="D60" s="88"/>
      <c r="E60" s="87"/>
      <c r="F60" s="89"/>
      <c r="G60" s="90"/>
      <c r="H60" s="91"/>
      <c r="I60" s="92"/>
      <c r="J60" s="89"/>
      <c r="K60" s="93"/>
      <c r="L60" s="91"/>
      <c r="M60" s="92"/>
      <c r="N60" s="94"/>
      <c r="O60" s="95"/>
      <c r="Q60" s="107"/>
      <c r="S60" s="107"/>
      <c r="U60" s="107"/>
      <c r="W60" s="107"/>
    </row>
    <row r="61" spans="2:23" x14ac:dyDescent="0.2">
      <c r="B61" s="96" t="s">
        <v>42</v>
      </c>
      <c r="C61" s="21"/>
      <c r="D61" s="21"/>
      <c r="E61" s="21"/>
      <c r="F61" s="97"/>
      <c r="G61" s="98"/>
      <c r="H61" s="99">
        <f>SUM(H51:H57,H50)</f>
        <v>240.89794000000001</v>
      </c>
      <c r="I61" s="100"/>
      <c r="J61" s="101"/>
      <c r="K61" s="101"/>
      <c r="L61" s="99">
        <f>SUM(L51:L57,L50)</f>
        <v>237.96539000000001</v>
      </c>
      <c r="M61" s="102"/>
      <c r="N61" s="103">
        <f t="shared" ref="N61" si="16">L61-H61</f>
        <v>-2.932549999999992</v>
      </c>
      <c r="O61" s="104">
        <f t="shared" ref="O61" si="17">IF((H61)=0,"",(N61/H61))</f>
        <v>-1.217341252482272E-2</v>
      </c>
      <c r="Q61" s="102"/>
      <c r="S61" s="102"/>
      <c r="U61" s="102"/>
      <c r="W61" s="102"/>
    </row>
    <row r="62" spans="2:23" x14ac:dyDescent="0.2">
      <c r="B62" s="105" t="s">
        <v>43</v>
      </c>
      <c r="C62" s="21"/>
      <c r="D62" s="21"/>
      <c r="E62" s="21"/>
      <c r="F62" s="106">
        <v>0.13</v>
      </c>
      <c r="G62" s="107"/>
      <c r="H62" s="108">
        <f>H61*F62</f>
        <v>31.316732200000001</v>
      </c>
      <c r="I62" s="109"/>
      <c r="J62" s="110">
        <v>0.13</v>
      </c>
      <c r="K62" s="109"/>
      <c r="L62" s="111">
        <f>L61*J62</f>
        <v>30.935500700000002</v>
      </c>
      <c r="M62" s="112"/>
      <c r="N62" s="113">
        <f t="shared" si="13"/>
        <v>-0.38123149999999839</v>
      </c>
      <c r="O62" s="114">
        <f t="shared" si="10"/>
        <v>-1.2173412524822701E-2</v>
      </c>
      <c r="Q62" s="112"/>
      <c r="S62" s="112"/>
      <c r="U62" s="112"/>
      <c r="W62" s="112"/>
    </row>
    <row r="63" spans="2:23" ht="13.5" thickBot="1" x14ac:dyDescent="0.25">
      <c r="B63" s="115" t="s">
        <v>44</v>
      </c>
      <c r="C63" s="21"/>
      <c r="D63" s="21"/>
      <c r="E63" s="21"/>
      <c r="F63" s="116"/>
      <c r="G63" s="107"/>
      <c r="H63" s="99">
        <f>H61+H62</f>
        <v>272.2146722</v>
      </c>
      <c r="I63" s="109"/>
      <c r="J63" s="109"/>
      <c r="K63" s="109"/>
      <c r="L63" s="220">
        <f>L61+L62</f>
        <v>268.90089069999999</v>
      </c>
      <c r="M63" s="112"/>
      <c r="N63" s="103">
        <f t="shared" si="13"/>
        <v>-3.3137815000000046</v>
      </c>
      <c r="O63" s="104">
        <f t="shared" si="10"/>
        <v>-1.217341252482277E-2</v>
      </c>
      <c r="Q63" s="112"/>
      <c r="S63" s="112"/>
      <c r="U63" s="112"/>
      <c r="W63" s="112"/>
    </row>
    <row r="64" spans="2:23" s="85" customFormat="1" ht="8.25" customHeight="1" thickBot="1" x14ac:dyDescent="0.25">
      <c r="B64" s="117"/>
      <c r="C64" s="118"/>
      <c r="D64" s="119"/>
      <c r="E64" s="118"/>
      <c r="F64" s="89"/>
      <c r="G64" s="120"/>
      <c r="H64" s="91"/>
      <c r="I64" s="121"/>
      <c r="J64" s="89"/>
      <c r="K64" s="122"/>
      <c r="L64" s="91"/>
      <c r="M64" s="121"/>
      <c r="N64" s="123"/>
      <c r="O64" s="95"/>
      <c r="Q64" s="143"/>
      <c r="R64" s="212"/>
      <c r="S64" s="143"/>
      <c r="T64" s="212"/>
      <c r="U64" s="143"/>
      <c r="V64" s="212"/>
      <c r="W64" s="143"/>
    </row>
    <row r="65" spans="1:23" s="85" customFormat="1" x14ac:dyDescent="0.2">
      <c r="B65" s="124" t="s">
        <v>45</v>
      </c>
      <c r="C65" s="79"/>
      <c r="D65" s="79"/>
      <c r="E65" s="79"/>
      <c r="F65" s="125"/>
      <c r="G65" s="126"/>
      <c r="H65" s="127">
        <f>SUM(H58:H59,H50,H51:H54)</f>
        <v>244.51294000000004</v>
      </c>
      <c r="I65" s="128"/>
      <c r="J65" s="129"/>
      <c r="K65" s="129"/>
      <c r="L65" s="127">
        <f>SUM(L58:L59,L50,L51:L54)</f>
        <v>241.58039000000002</v>
      </c>
      <c r="M65" s="130"/>
      <c r="N65" s="131">
        <f t="shared" ref="N65:N67" si="18">L65-H65</f>
        <v>-2.9325500000000204</v>
      </c>
      <c r="O65" s="104">
        <f t="shared" ref="O65:O67" si="19">IF((H65)=0,"",(N65/H65))</f>
        <v>-1.1993434785087529E-2</v>
      </c>
      <c r="Q65" s="130"/>
      <c r="R65" s="212"/>
      <c r="S65" s="130"/>
      <c r="T65" s="212"/>
      <c r="U65" s="130"/>
      <c r="V65" s="212"/>
      <c r="W65" s="130"/>
    </row>
    <row r="66" spans="1:23" s="85" customFormat="1" x14ac:dyDescent="0.2">
      <c r="B66" s="132" t="s">
        <v>43</v>
      </c>
      <c r="C66" s="79"/>
      <c r="D66" s="79"/>
      <c r="E66" s="79"/>
      <c r="F66" s="133">
        <v>0.13</v>
      </c>
      <c r="G66" s="126"/>
      <c r="H66" s="134">
        <f>H65*F66</f>
        <v>31.786682200000008</v>
      </c>
      <c r="I66" s="135"/>
      <c r="J66" s="136">
        <v>0.13</v>
      </c>
      <c r="K66" s="137"/>
      <c r="L66" s="138">
        <f>L65*J66</f>
        <v>31.405450700000003</v>
      </c>
      <c r="M66" s="139"/>
      <c r="N66" s="140">
        <f t="shared" si="18"/>
        <v>-0.3812315000000055</v>
      </c>
      <c r="O66" s="114">
        <f t="shared" si="19"/>
        <v>-1.1993434785087617E-2</v>
      </c>
      <c r="Q66" s="139"/>
      <c r="R66" s="212"/>
      <c r="S66" s="139"/>
      <c r="T66" s="212"/>
      <c r="U66" s="139"/>
      <c r="V66" s="212"/>
      <c r="W66" s="139"/>
    </row>
    <row r="67" spans="1:23" s="85" customFormat="1" ht="13.5" thickBot="1" x14ac:dyDescent="0.25">
      <c r="B67" s="141" t="s">
        <v>44</v>
      </c>
      <c r="C67" s="79"/>
      <c r="D67" s="79"/>
      <c r="E67" s="79"/>
      <c r="F67" s="142"/>
      <c r="G67" s="143"/>
      <c r="H67" s="127">
        <f>H65+H66</f>
        <v>276.29962220000004</v>
      </c>
      <c r="I67" s="135"/>
      <c r="J67" s="135"/>
      <c r="K67" s="135"/>
      <c r="L67" s="219">
        <f>L65+L66</f>
        <v>272.98584070000004</v>
      </c>
      <c r="M67" s="139"/>
      <c r="N67" s="131">
        <f t="shared" si="18"/>
        <v>-3.3137815000000046</v>
      </c>
      <c r="O67" s="104">
        <f t="shared" si="19"/>
        <v>-1.1993434785087463E-2</v>
      </c>
      <c r="Q67" s="139"/>
      <c r="R67" s="212"/>
      <c r="S67" s="139"/>
      <c r="T67" s="212"/>
      <c r="U67" s="139"/>
      <c r="V67" s="212"/>
      <c r="W67" s="139"/>
    </row>
    <row r="68" spans="1:23" s="85" customFormat="1" ht="8.25" customHeight="1" thickBot="1" x14ac:dyDescent="0.25">
      <c r="B68" s="117"/>
      <c r="C68" s="118"/>
      <c r="D68" s="119"/>
      <c r="E68" s="118"/>
      <c r="F68" s="144"/>
      <c r="G68" s="145"/>
      <c r="H68" s="146"/>
      <c r="I68" s="147"/>
      <c r="J68" s="144"/>
      <c r="K68" s="120"/>
      <c r="L68" s="148"/>
      <c r="M68" s="121"/>
      <c r="N68" s="149"/>
      <c r="O68" s="95"/>
      <c r="Q68" s="143"/>
      <c r="R68" s="212"/>
      <c r="S68" s="143"/>
      <c r="T68" s="212"/>
      <c r="U68" s="143"/>
      <c r="V68" s="212"/>
      <c r="W68" s="143"/>
    </row>
    <row r="69" spans="1:23" x14ac:dyDescent="0.2">
      <c r="L69" s="150"/>
    </row>
    <row r="70" spans="1:23" x14ac:dyDescent="0.2">
      <c r="B70" s="12" t="s">
        <v>46</v>
      </c>
      <c r="F70" s="151">
        <f>'Res (100)'!F70</f>
        <v>3.3500000000000002E-2</v>
      </c>
      <c r="J70" s="151">
        <f>+'Res (100)'!J70</f>
        <v>3.3500000000000002E-2</v>
      </c>
    </row>
    <row r="72" spans="1:23" ht="13.5" customHeight="1" x14ac:dyDescent="0.2">
      <c r="Q72" s="210"/>
      <c r="R72" s="210"/>
      <c r="S72" s="6"/>
      <c r="T72" s="6"/>
      <c r="U72" s="6"/>
      <c r="V72" s="6"/>
      <c r="W72" s="6"/>
    </row>
    <row r="73" spans="1:23" ht="12" customHeight="1" x14ac:dyDescent="0.2">
      <c r="A73" s="6" t="s">
        <v>47</v>
      </c>
      <c r="Q73" s="210"/>
      <c r="R73" s="210"/>
      <c r="S73" s="6"/>
      <c r="T73" s="6"/>
      <c r="U73" s="6"/>
      <c r="V73" s="6"/>
      <c r="W73" s="6"/>
    </row>
    <row r="74" spans="1:23" x14ac:dyDescent="0.2">
      <c r="A74" s="6" t="s">
        <v>48</v>
      </c>
      <c r="Q74" s="210"/>
      <c r="R74" s="210"/>
      <c r="S74" s="6"/>
      <c r="T74" s="6"/>
      <c r="U74" s="6"/>
      <c r="V74" s="6"/>
      <c r="W74" s="6"/>
    </row>
    <row r="75" spans="1:23" x14ac:dyDescent="0.2">
      <c r="Q75" s="210"/>
      <c r="R75" s="210"/>
      <c r="S75" s="6"/>
      <c r="T75" s="6"/>
      <c r="U75" s="6"/>
      <c r="V75" s="6"/>
      <c r="W75" s="6"/>
    </row>
    <row r="76" spans="1:23" x14ac:dyDescent="0.2">
      <c r="A76" s="153" t="s">
        <v>136</v>
      </c>
      <c r="Q76" s="210"/>
      <c r="R76" s="210"/>
      <c r="S76" s="6"/>
      <c r="T76" s="6"/>
      <c r="U76" s="6"/>
      <c r="V76" s="6"/>
      <c r="W76" s="6"/>
    </row>
    <row r="77" spans="1:23" x14ac:dyDescent="0.2">
      <c r="A77" s="11" t="s">
        <v>49</v>
      </c>
      <c r="Q77" s="210"/>
      <c r="R77" s="210"/>
      <c r="S77" s="6"/>
      <c r="T77" s="6"/>
      <c r="U77" s="6"/>
      <c r="V77" s="6"/>
      <c r="W77" s="6"/>
    </row>
    <row r="78" spans="1:23" x14ac:dyDescent="0.2">
      <c r="Q78" s="210"/>
      <c r="R78" s="210"/>
      <c r="S78" s="6"/>
      <c r="T78" s="6"/>
      <c r="U78" s="6"/>
      <c r="V78" s="6"/>
      <c r="W78" s="6"/>
    </row>
    <row r="79" spans="1:23" x14ac:dyDescent="0.2">
      <c r="A79" s="6" t="s">
        <v>135</v>
      </c>
      <c r="Q79" s="210"/>
      <c r="R79" s="210"/>
      <c r="S79" s="6"/>
      <c r="T79" s="6"/>
      <c r="U79" s="6"/>
      <c r="V79" s="6"/>
      <c r="W79" s="6"/>
    </row>
    <row r="80" spans="1:23" x14ac:dyDescent="0.2">
      <c r="A80" s="6" t="s">
        <v>50</v>
      </c>
      <c r="Q80" s="210"/>
      <c r="R80" s="210"/>
      <c r="S80" s="6"/>
      <c r="T80" s="6"/>
      <c r="U80" s="6"/>
      <c r="V80" s="6"/>
      <c r="W80" s="6"/>
    </row>
    <row r="81" spans="1:23" x14ac:dyDescent="0.2">
      <c r="A81" s="6" t="s">
        <v>51</v>
      </c>
      <c r="Q81" s="210"/>
      <c r="R81" s="210"/>
      <c r="S81" s="6"/>
      <c r="T81" s="6"/>
      <c r="U81" s="6"/>
      <c r="V81" s="6"/>
      <c r="W81" s="6"/>
    </row>
    <row r="82" spans="1:23" x14ac:dyDescent="0.2">
      <c r="A82" s="6" t="s">
        <v>52</v>
      </c>
      <c r="Q82" s="210"/>
      <c r="R82" s="210"/>
      <c r="S82" s="6"/>
      <c r="T82" s="6"/>
      <c r="U82" s="6"/>
      <c r="V82" s="6"/>
      <c r="W82" s="6"/>
    </row>
    <row r="83" spans="1:23" x14ac:dyDescent="0.2">
      <c r="A83" s="6" t="s">
        <v>53</v>
      </c>
      <c r="Q83" s="210"/>
      <c r="R83" s="210"/>
      <c r="S83" s="6"/>
      <c r="T83" s="6"/>
      <c r="U83" s="6"/>
      <c r="V83" s="6"/>
      <c r="W83" s="6"/>
    </row>
    <row r="84" spans="1:23" x14ac:dyDescent="0.2">
      <c r="Q84" s="210"/>
      <c r="R84" s="210"/>
      <c r="S84" s="6"/>
      <c r="T84" s="6"/>
      <c r="U84" s="6"/>
      <c r="V84" s="6"/>
      <c r="W84" s="6"/>
    </row>
    <row r="85" spans="1:23" x14ac:dyDescent="0.2">
      <c r="A85" s="152"/>
      <c r="B85" s="6" t="s">
        <v>54</v>
      </c>
      <c r="Q85" s="210"/>
      <c r="R85" s="210"/>
      <c r="S85" s="6"/>
      <c r="T85" s="6"/>
      <c r="U85" s="6"/>
      <c r="V85" s="6"/>
      <c r="W85" s="6"/>
    </row>
    <row r="86" spans="1:23" x14ac:dyDescent="0.2">
      <c r="Q86" s="210"/>
      <c r="R86" s="210"/>
      <c r="S86" s="6"/>
      <c r="T86" s="6"/>
      <c r="U86" s="6"/>
      <c r="V86" s="6"/>
      <c r="W86" s="6"/>
    </row>
    <row r="87" spans="1:23" x14ac:dyDescent="0.2">
      <c r="B87" s="153" t="s">
        <v>55</v>
      </c>
      <c r="Q87" s="210"/>
      <c r="R87" s="210"/>
      <c r="S87" s="6"/>
      <c r="T87" s="6"/>
      <c r="U87" s="6"/>
      <c r="V87" s="6"/>
      <c r="W87"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68 D64 D23:D38 D48:D49 D40:D46 D51:D60">
      <formula1>"Monthly, per kWh, per kW"</formula1>
    </dataValidation>
    <dataValidation type="list" allowBlank="1" showInputMessage="1" showErrorMessage="1" sqref="E48:E49 E68 E64 E23:E38 E40:E46 E51:E60">
      <formula1>#REF!</formula1>
    </dataValidation>
  </dataValidations>
  <pageMargins left="0.74803149606299213" right="0.74803149606299213" top="0.98425196850393704" bottom="0.98425196850393704" header="0.51181102362204722" footer="0.51181102362204722"/>
  <pageSetup scale="60" fitToWidth="2" orientation="portrait" r:id="rId1"/>
  <headerFooter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Option Button 1">
              <controlPr defaultSize="0" autoFill="0" autoLine="0" autoPict="0">
                <anchor moveWithCells="1">
                  <from>
                    <xdr:col>6</xdr:col>
                    <xdr:colOff>476250</xdr:colOff>
                    <xdr:row>16</xdr:row>
                    <xdr:rowOff>171450</xdr:rowOff>
                  </from>
                  <to>
                    <xdr:col>9</xdr:col>
                    <xdr:colOff>476250</xdr:colOff>
                    <xdr:row>18</xdr:row>
                    <xdr:rowOff>28575</xdr:rowOff>
                  </to>
                </anchor>
              </controlPr>
            </control>
          </mc:Choice>
        </mc:AlternateContent>
        <mc:AlternateContent xmlns:mc="http://schemas.openxmlformats.org/markup-compatibility/2006">
          <mc:Choice Requires="x14">
            <control shapeId="15362" r:id="rId5" name="Option Button 2">
              <controlPr defaultSize="0" autoFill="0" autoLine="0" autoPict="0">
                <anchor moveWithCells="1">
                  <from>
                    <xdr:col>9</xdr:col>
                    <xdr:colOff>361950</xdr:colOff>
                    <xdr:row>16</xdr:row>
                    <xdr:rowOff>114300</xdr:rowOff>
                  </from>
                  <to>
                    <xdr:col>15</xdr:col>
                    <xdr:colOff>219075</xdr:colOff>
                    <xdr:row>18</xdr:row>
                    <xdr:rowOff>133350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87"/>
  <sheetViews>
    <sheetView showGridLines="0" view="pageBreakPreview" topLeftCell="A37" zoomScale="70" zoomScaleNormal="85" zoomScaleSheetLayoutView="70" workbookViewId="0">
      <selection activeCell="O41" sqref="O4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9.7109375" style="6" bestFit="1" customWidth="1"/>
    <col min="7" max="7" width="9.85546875" style="6" bestFit="1" customWidth="1"/>
    <col min="8" max="8" width="12.7109375" style="6" customWidth="1"/>
    <col min="9" max="9" width="2.85546875" style="6" customWidth="1"/>
    <col min="10" max="10" width="11.5703125" style="6" bestFit="1" customWidth="1"/>
    <col min="11" max="11" width="9.85546875" style="6" bestFit="1" customWidth="1"/>
    <col min="12" max="12" width="13" style="6" bestFit="1" customWidth="1"/>
    <col min="13" max="13" width="2.85546875" style="6" customWidth="1"/>
    <col min="14" max="14" width="11.85546875" style="6" bestFit="1"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7109375" style="211" bestFit="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2</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2000</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'Res (100)'!F23</f>
        <v>12.96</v>
      </c>
      <c r="G23" s="25">
        <v>1</v>
      </c>
      <c r="H23" s="26">
        <f>G23*F23</f>
        <v>12.96</v>
      </c>
      <c r="I23" s="27"/>
      <c r="J23" s="28">
        <f>+'Res (100)'!J23</f>
        <v>16.600000000000001</v>
      </c>
      <c r="K23" s="29">
        <v>1</v>
      </c>
      <c r="L23" s="26">
        <f>K23*J23</f>
        <v>16.600000000000001</v>
      </c>
      <c r="M23" s="27"/>
      <c r="N23" s="30">
        <f>L23-H23</f>
        <v>3.6400000000000006</v>
      </c>
      <c r="O23" s="31">
        <f>IF((H23)=0,"",(N23/H23))</f>
        <v>0.28086419753086422</v>
      </c>
      <c r="Q23" s="107"/>
      <c r="S23" s="107"/>
      <c r="U23" s="107"/>
      <c r="W23" s="107"/>
    </row>
    <row r="24" spans="2:23" x14ac:dyDescent="0.2">
      <c r="B24" s="21" t="s">
        <v>19</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'Res (100)'!F29</f>
        <v>1.9300000000000001E-2</v>
      </c>
      <c r="G29" s="25">
        <f>$F$18</f>
        <v>2000</v>
      </c>
      <c r="H29" s="26">
        <f t="shared" si="0"/>
        <v>38.6</v>
      </c>
      <c r="I29" s="27"/>
      <c r="J29" s="28">
        <f>+'Res (100)'!J29</f>
        <v>1.5100000000000001E-2</v>
      </c>
      <c r="K29" s="25">
        <f>$F$18</f>
        <v>2000</v>
      </c>
      <c r="L29" s="26">
        <f t="shared" si="1"/>
        <v>30.200000000000003</v>
      </c>
      <c r="M29" s="27"/>
      <c r="N29" s="30">
        <f t="shared" si="2"/>
        <v>-8.3999999999999986</v>
      </c>
      <c r="O29" s="31">
        <f t="shared" si="3"/>
        <v>-0.2176165803108808</v>
      </c>
      <c r="Q29" s="107"/>
      <c r="S29" s="107"/>
      <c r="U29" s="107"/>
      <c r="W29" s="107"/>
    </row>
    <row r="30" spans="2:23" x14ac:dyDescent="0.2">
      <c r="B30" s="21" t="s">
        <v>22</v>
      </c>
      <c r="C30" s="21"/>
      <c r="D30" s="22"/>
      <c r="E30" s="23"/>
      <c r="F30" s="24"/>
      <c r="G30" s="25">
        <f t="shared" ref="G30" si="4">$F$18</f>
        <v>2000</v>
      </c>
      <c r="H30" s="26">
        <f t="shared" si="0"/>
        <v>0</v>
      </c>
      <c r="I30" s="27"/>
      <c r="J30" s="28"/>
      <c r="K30" s="25">
        <f t="shared" ref="K30:K38" si="5">$F$18</f>
        <v>2000</v>
      </c>
      <c r="L30" s="26">
        <f t="shared" si="1"/>
        <v>0</v>
      </c>
      <c r="M30" s="27"/>
      <c r="N30" s="30">
        <f t="shared" si="2"/>
        <v>0</v>
      </c>
      <c r="O30" s="31" t="str">
        <f t="shared" si="3"/>
        <v/>
      </c>
      <c r="Q30" s="107"/>
      <c r="S30" s="107"/>
      <c r="U30" s="107"/>
      <c r="W30" s="107"/>
    </row>
    <row r="31" spans="2:23" x14ac:dyDescent="0.2">
      <c r="B31" s="21" t="s">
        <v>23</v>
      </c>
      <c r="C31" s="21"/>
      <c r="D31" s="22" t="s">
        <v>21</v>
      </c>
      <c r="E31" s="23"/>
      <c r="F31" s="50">
        <f>+'Res (100)'!F31</f>
        <v>-2.0000000000000002E-5</v>
      </c>
      <c r="G31" s="25">
        <f>$F$18</f>
        <v>2000</v>
      </c>
      <c r="H31" s="26">
        <f t="shared" si="0"/>
        <v>-0.04</v>
      </c>
      <c r="I31" s="27"/>
      <c r="J31" s="52">
        <f>+'Res (100)'!J31</f>
        <v>0</v>
      </c>
      <c r="K31" s="25">
        <f t="shared" si="5"/>
        <v>2000</v>
      </c>
      <c r="L31" s="26">
        <f t="shared" si="1"/>
        <v>0</v>
      </c>
      <c r="M31" s="27"/>
      <c r="N31" s="30">
        <f t="shared" si="2"/>
        <v>0.04</v>
      </c>
      <c r="O31" s="31">
        <f t="shared" si="3"/>
        <v>-1</v>
      </c>
      <c r="Q31" s="107"/>
      <c r="S31" s="107"/>
      <c r="U31" s="107"/>
      <c r="W31" s="107"/>
    </row>
    <row r="32" spans="2:23" x14ac:dyDescent="0.2">
      <c r="B32" s="33"/>
      <c r="C32" s="21"/>
      <c r="D32" s="22"/>
      <c r="E32" s="23"/>
      <c r="F32" s="24"/>
      <c r="G32" s="25">
        <f t="shared" ref="G32:G38" si="6">$F$18</f>
        <v>2000</v>
      </c>
      <c r="H32" s="26">
        <f t="shared" si="0"/>
        <v>0</v>
      </c>
      <c r="I32" s="27"/>
      <c r="J32" s="28"/>
      <c r="K32" s="25">
        <f t="shared" si="5"/>
        <v>2000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2000</v>
      </c>
      <c r="H33" s="26">
        <f t="shared" si="0"/>
        <v>0</v>
      </c>
      <c r="I33" s="27"/>
      <c r="J33" s="28"/>
      <c r="K33" s="25">
        <f t="shared" si="5"/>
        <v>2000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2000</v>
      </c>
      <c r="H34" s="26">
        <f t="shared" si="0"/>
        <v>0</v>
      </c>
      <c r="I34" s="27"/>
      <c r="J34" s="28"/>
      <c r="K34" s="25">
        <f t="shared" si="5"/>
        <v>2000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2000</v>
      </c>
      <c r="H35" s="26">
        <f t="shared" si="0"/>
        <v>0</v>
      </c>
      <c r="I35" s="27"/>
      <c r="J35" s="28"/>
      <c r="K35" s="25">
        <f t="shared" si="5"/>
        <v>2000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2000</v>
      </c>
      <c r="H36" s="26">
        <f t="shared" si="0"/>
        <v>0</v>
      </c>
      <c r="I36" s="27"/>
      <c r="J36" s="28"/>
      <c r="K36" s="25">
        <f t="shared" si="5"/>
        <v>2000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2000</v>
      </c>
      <c r="H37" s="26">
        <f t="shared" si="0"/>
        <v>0</v>
      </c>
      <c r="I37" s="27"/>
      <c r="J37" s="28"/>
      <c r="K37" s="25">
        <f t="shared" si="5"/>
        <v>2000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2000</v>
      </c>
      <c r="H38" s="26">
        <f t="shared" si="0"/>
        <v>0</v>
      </c>
      <c r="I38" s="27"/>
      <c r="J38" s="28"/>
      <c r="K38" s="25">
        <f t="shared" si="5"/>
        <v>2000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51.52</v>
      </c>
      <c r="I39" s="40"/>
      <c r="J39" s="41"/>
      <c r="K39" s="42"/>
      <c r="L39" s="39">
        <f>SUM(L23:L38)</f>
        <v>46.800000000000004</v>
      </c>
      <c r="M39" s="40"/>
      <c r="N39" s="43">
        <f t="shared" si="2"/>
        <v>-4.7199999999999989</v>
      </c>
      <c r="O39" s="44">
        <f t="shared" si="3"/>
        <v>-9.1614906832298115E-2</v>
      </c>
      <c r="Q39" s="107"/>
      <c r="R39" s="211"/>
      <c r="S39" s="107"/>
      <c r="T39" s="211"/>
      <c r="U39" s="107"/>
      <c r="V39" s="211"/>
      <c r="W39" s="107"/>
    </row>
    <row r="40" spans="2:23" ht="38.25" x14ac:dyDescent="0.2">
      <c r="B40" s="46" t="str">
        <f>+'Res (100)'!B40</f>
        <v>Deferral/Variance Account Disposition Rate Rider Group 1</v>
      </c>
      <c r="C40" s="21"/>
      <c r="D40" s="22" t="s">
        <v>21</v>
      </c>
      <c r="E40" s="23"/>
      <c r="F40" s="24">
        <f>'Res (100)'!F40</f>
        <v>-8.2600000000000002E-4</v>
      </c>
      <c r="G40" s="25">
        <f>$F$18</f>
        <v>2000</v>
      </c>
      <c r="H40" s="26">
        <f>G40*F40</f>
        <v>-1.6520000000000001</v>
      </c>
      <c r="I40" s="27"/>
      <c r="J40" s="28">
        <f>+'Res (100)'!J40</f>
        <v>-1E-4</v>
      </c>
      <c r="K40" s="25">
        <f>$F$18</f>
        <v>2000</v>
      </c>
      <c r="L40" s="26">
        <f>K40*J40</f>
        <v>-0.2</v>
      </c>
      <c r="M40" s="27"/>
      <c r="N40" s="30">
        <f>L40-H40</f>
        <v>1.4520000000000002</v>
      </c>
      <c r="O40" s="31">
        <f>IF((H40)=0,"",(N40/H40))</f>
        <v>-0.87893462469733663</v>
      </c>
      <c r="Q40" s="107"/>
      <c r="S40" s="107"/>
      <c r="U40" s="107"/>
      <c r="W40" s="107"/>
    </row>
    <row r="41" spans="2:23" ht="38.25" x14ac:dyDescent="0.2">
      <c r="B41" s="46" t="str">
        <f>+'Res (100)'!B41</f>
        <v>Deferral/Variance Account Disposition Rate Rider Group 2</v>
      </c>
      <c r="C41" s="21"/>
      <c r="D41" s="22" t="s">
        <v>18</v>
      </c>
      <c r="E41" s="23"/>
      <c r="F41" s="24">
        <f>'Res (100)'!F41</f>
        <v>0.32</v>
      </c>
      <c r="G41" s="25">
        <v>1</v>
      </c>
      <c r="H41" s="26">
        <f t="shared" ref="H41:H45" si="7">G41*F41</f>
        <v>0.32</v>
      </c>
      <c r="I41" s="47"/>
      <c r="J41" s="158">
        <f>+'Res (100)'!J41</f>
        <v>0.02</v>
      </c>
      <c r="K41" s="25">
        <v>1</v>
      </c>
      <c r="L41" s="26">
        <f t="shared" ref="L41:L45" si="8">K41*J41</f>
        <v>0.02</v>
      </c>
      <c r="M41" s="48"/>
      <c r="N41" s="30">
        <f t="shared" ref="N41:N45" si="9">L41-H41</f>
        <v>-0.3</v>
      </c>
      <c r="O41" s="31">
        <f t="shared" ref="O41:O63" si="10">IF((H41)=0,"",(N41/H41))</f>
        <v>-0.9375</v>
      </c>
      <c r="Q41" s="107"/>
      <c r="S41" s="107"/>
      <c r="U41" s="107"/>
      <c r="W41" s="107"/>
    </row>
    <row r="42" spans="2:23" ht="38.25" x14ac:dyDescent="0.2">
      <c r="B42" s="46" t="str">
        <f>+'Res (100)'!B42</f>
        <v>Deferral / Variance Accounts Balances (excluding Global Adj.) - NON-WMP</v>
      </c>
      <c r="C42" s="21"/>
      <c r="D42" s="22" t="s">
        <v>21</v>
      </c>
      <c r="E42" s="23"/>
      <c r="F42" s="24">
        <f>'Res (232)'!F42</f>
        <v>-1.5089999999999999E-3</v>
      </c>
      <c r="G42" s="25">
        <f t="shared" ref="G42:G43" si="11">$F$18</f>
        <v>2000</v>
      </c>
      <c r="H42" s="26">
        <f t="shared" si="7"/>
        <v>-3.0179999999999998</v>
      </c>
      <c r="I42" s="47"/>
      <c r="J42" s="28">
        <f>+'Res (100)'!J42</f>
        <v>-2.3E-3</v>
      </c>
      <c r="K42" s="25">
        <f t="shared" ref="K42:K43" si="12">$F$18</f>
        <v>2000</v>
      </c>
      <c r="L42" s="26">
        <f t="shared" si="8"/>
        <v>-4.5999999999999996</v>
      </c>
      <c r="M42" s="48"/>
      <c r="N42" s="30">
        <f t="shared" si="9"/>
        <v>-1.5819999999999999</v>
      </c>
      <c r="O42" s="31">
        <f t="shared" si="10"/>
        <v>0.52418820410868128</v>
      </c>
      <c r="Q42" s="107"/>
      <c r="S42" s="107"/>
      <c r="U42" s="107"/>
      <c r="W42" s="107"/>
    </row>
    <row r="43" spans="2:23" ht="38.25" x14ac:dyDescent="0.2">
      <c r="B43" s="46" t="s">
        <v>128</v>
      </c>
      <c r="C43" s="21"/>
      <c r="D43" s="22" t="s">
        <v>21</v>
      </c>
      <c r="E43" s="23"/>
      <c r="F43" s="24">
        <f>+'Res (100)'!F43</f>
        <v>0</v>
      </c>
      <c r="G43" s="25">
        <f t="shared" si="11"/>
        <v>2000</v>
      </c>
      <c r="H43" s="26">
        <f t="shared" si="7"/>
        <v>0</v>
      </c>
      <c r="I43" s="47"/>
      <c r="J43" s="233">
        <f>+'Res (100)'!J43</f>
        <v>2.7E-4</v>
      </c>
      <c r="K43" s="25">
        <f t="shared" si="12"/>
        <v>2000</v>
      </c>
      <c r="L43" s="26">
        <f t="shared" si="8"/>
        <v>0.54</v>
      </c>
      <c r="M43" s="48"/>
      <c r="N43" s="30">
        <f t="shared" si="9"/>
        <v>0.54</v>
      </c>
      <c r="O43" s="31" t="str">
        <f t="shared" si="10"/>
        <v/>
      </c>
      <c r="Q43" s="107"/>
      <c r="S43" s="107"/>
      <c r="U43" s="107"/>
      <c r="W43" s="107"/>
    </row>
    <row r="44" spans="2:23" x14ac:dyDescent="0.2">
      <c r="B44" s="49" t="s">
        <v>26</v>
      </c>
      <c r="C44" s="21"/>
      <c r="D44" s="22" t="s">
        <v>21</v>
      </c>
      <c r="E44" s="23"/>
      <c r="F44" s="50">
        <f>'Res (100)'!F44</f>
        <v>6.9999999999999994E-5</v>
      </c>
      <c r="G44" s="51">
        <f>$F$18*(1+F70)</f>
        <v>2067</v>
      </c>
      <c r="H44" s="26">
        <f>G44*F44</f>
        <v>0.14468999999999999</v>
      </c>
      <c r="I44" s="27"/>
      <c r="J44" s="52">
        <f>'Res (100)'!J44</f>
        <v>6.9999999999999994E-5</v>
      </c>
      <c r="K44" s="51">
        <f>$F$18*(1+J70)</f>
        <v>2067</v>
      </c>
      <c r="L44" s="26">
        <f>K44*J44</f>
        <v>0.14468999999999999</v>
      </c>
      <c r="M44" s="27"/>
      <c r="N44" s="30">
        <f>L44-H44</f>
        <v>0</v>
      </c>
      <c r="O44" s="31">
        <f>IF((H44)=0,"",(N44/H44))</f>
        <v>0</v>
      </c>
      <c r="Q44" s="107"/>
      <c r="S44" s="107"/>
      <c r="U44" s="107"/>
      <c r="W44" s="107"/>
    </row>
    <row r="45" spans="2:23" x14ac:dyDescent="0.2">
      <c r="B45" s="49" t="s">
        <v>27</v>
      </c>
      <c r="C45" s="21"/>
      <c r="D45" s="22"/>
      <c r="E45" s="23"/>
      <c r="F45" s="53">
        <f>IF(ISBLANK(D16)=TRUE, 0, IF(D16="TOU", 0.65*$F$55+0.17*$F$56+0.18*$F$57, IF(AND(D16="non-TOU", G59&gt;0), F59,F58)))</f>
        <v>0.11139</v>
      </c>
      <c r="G45" s="54">
        <f>$F$18*(1+$F$70)-$F$18</f>
        <v>67</v>
      </c>
      <c r="H45" s="26">
        <f t="shared" si="7"/>
        <v>7.4631300000000005</v>
      </c>
      <c r="I45" s="27"/>
      <c r="J45" s="55">
        <f>0.65*$J$55+0.17*$J$56+0.18*$J$57</f>
        <v>0.11139</v>
      </c>
      <c r="K45" s="54">
        <f>$F$18*(1+$J$70)-$F$18</f>
        <v>67</v>
      </c>
      <c r="L45" s="26">
        <f t="shared" si="8"/>
        <v>7.4631300000000005</v>
      </c>
      <c r="M45" s="27"/>
      <c r="N45" s="30">
        <f t="shared" si="9"/>
        <v>0</v>
      </c>
      <c r="O45" s="31">
        <f t="shared" si="10"/>
        <v>0</v>
      </c>
      <c r="Q45" s="107"/>
      <c r="S45" s="107"/>
      <c r="U45" s="107"/>
      <c r="W45" s="107"/>
    </row>
    <row r="46" spans="2:23" x14ac:dyDescent="0.2">
      <c r="B46" s="49" t="s">
        <v>28</v>
      </c>
      <c r="C46" s="21"/>
      <c r="D46" s="22" t="s">
        <v>18</v>
      </c>
      <c r="E46" s="23"/>
      <c r="F46" s="53">
        <f>'Res (100)'!F46</f>
        <v>0.79</v>
      </c>
      <c r="G46" s="25">
        <v>1</v>
      </c>
      <c r="H46" s="26">
        <f>G46*F46</f>
        <v>0.79</v>
      </c>
      <c r="I46" s="27"/>
      <c r="J46" s="53">
        <f>'Res (100)'!J46</f>
        <v>0.79</v>
      </c>
      <c r="K46" s="25">
        <v>1</v>
      </c>
      <c r="L46" s="26">
        <f>K46*J46</f>
        <v>0.79</v>
      </c>
      <c r="M46" s="27"/>
      <c r="N46" s="30">
        <f>L46-H46</f>
        <v>0</v>
      </c>
      <c r="O46" s="31">
        <f t="shared" si="10"/>
        <v>0</v>
      </c>
      <c r="Q46" s="107"/>
      <c r="S46" s="107"/>
      <c r="U46" s="107"/>
      <c r="W46" s="107"/>
    </row>
    <row r="47" spans="2:23" ht="25.5" x14ac:dyDescent="0.2">
      <c r="B47" s="56" t="s">
        <v>29</v>
      </c>
      <c r="C47" s="57"/>
      <c r="D47" s="57"/>
      <c r="E47" s="57"/>
      <c r="F47" s="58"/>
      <c r="G47" s="59"/>
      <c r="H47" s="60">
        <f>SUM(H40:H46)+H39</f>
        <v>55.567820000000005</v>
      </c>
      <c r="I47" s="40"/>
      <c r="J47" s="59"/>
      <c r="K47" s="61"/>
      <c r="L47" s="60">
        <f>SUM(L40:L46)+L39</f>
        <v>50.957820000000005</v>
      </c>
      <c r="M47" s="40"/>
      <c r="N47" s="43">
        <f t="shared" ref="N47:N63" si="13">L47-H47</f>
        <v>-4.6099999999999994</v>
      </c>
      <c r="O47" s="44">
        <f t="shared" si="10"/>
        <v>-8.2961685378335856E-2</v>
      </c>
      <c r="Q47" s="107"/>
      <c r="S47" s="107"/>
      <c r="U47" s="107"/>
      <c r="W47" s="107"/>
    </row>
    <row r="48" spans="2:23" x14ac:dyDescent="0.2">
      <c r="B48" s="27" t="s">
        <v>30</v>
      </c>
      <c r="C48" s="27"/>
      <c r="D48" s="62" t="s">
        <v>21</v>
      </c>
      <c r="E48" s="63"/>
      <c r="F48" s="28">
        <f>'Res (100)'!F48</f>
        <v>7.6E-3</v>
      </c>
      <c r="G48" s="64">
        <f>$F$18*(1+F70)</f>
        <v>2067</v>
      </c>
      <c r="H48" s="26">
        <f>G48*F48</f>
        <v>15.709199999999999</v>
      </c>
      <c r="I48" s="27"/>
      <c r="J48" s="28">
        <f>'Res (100)'!J48</f>
        <v>7.4000000000000003E-3</v>
      </c>
      <c r="K48" s="65">
        <f>F18*(1+J70)</f>
        <v>2067</v>
      </c>
      <c r="L48" s="26">
        <f>K48*J48</f>
        <v>15.2958</v>
      </c>
      <c r="M48" s="27"/>
      <c r="N48" s="30">
        <f t="shared" si="13"/>
        <v>-0.41339999999999932</v>
      </c>
      <c r="O48" s="31">
        <f t="shared" si="10"/>
        <v>-2.6315789473684167E-2</v>
      </c>
      <c r="Q48" s="107"/>
      <c r="S48" s="107"/>
      <c r="U48" s="107"/>
      <c r="W48" s="107"/>
    </row>
    <row r="49" spans="2:23" ht="25.5" x14ac:dyDescent="0.2">
      <c r="B49" s="66" t="s">
        <v>31</v>
      </c>
      <c r="C49" s="27"/>
      <c r="D49" s="62" t="s">
        <v>21</v>
      </c>
      <c r="E49" s="63"/>
      <c r="F49" s="28">
        <f>'Res (100)'!F49</f>
        <v>4.7000000000000002E-3</v>
      </c>
      <c r="G49" s="64">
        <f>G48</f>
        <v>2067</v>
      </c>
      <c r="H49" s="26">
        <f>G49*F49</f>
        <v>9.7149000000000001</v>
      </c>
      <c r="I49" s="27"/>
      <c r="J49" s="28">
        <f>'Res (100)'!J49</f>
        <v>4.7000000000000002E-3</v>
      </c>
      <c r="K49" s="65">
        <f>K48</f>
        <v>2067</v>
      </c>
      <c r="L49" s="26">
        <f>K49*J49</f>
        <v>9.7149000000000001</v>
      </c>
      <c r="M49" s="27"/>
      <c r="N49" s="30">
        <f t="shared" si="13"/>
        <v>0</v>
      </c>
      <c r="O49" s="31">
        <f t="shared" si="10"/>
        <v>0</v>
      </c>
      <c r="Q49" s="107"/>
      <c r="S49" s="107"/>
      <c r="U49" s="107"/>
      <c r="W49" s="107"/>
    </row>
    <row r="50" spans="2:23" ht="25.5" x14ac:dyDescent="0.2">
      <c r="B50" s="56" t="s">
        <v>32</v>
      </c>
      <c r="C50" s="35"/>
      <c r="D50" s="35"/>
      <c r="E50" s="35"/>
      <c r="F50" s="67"/>
      <c r="G50" s="59"/>
      <c r="H50" s="60">
        <f>SUM(H47:H49)</f>
        <v>80.991920000000007</v>
      </c>
      <c r="I50" s="68"/>
      <c r="J50" s="69"/>
      <c r="K50" s="70"/>
      <c r="L50" s="60">
        <f>SUM(L47:L49)</f>
        <v>75.968520000000012</v>
      </c>
      <c r="M50" s="68"/>
      <c r="N50" s="43">
        <f t="shared" si="13"/>
        <v>-5.0233999999999952</v>
      </c>
      <c r="O50" s="44">
        <f t="shared" si="10"/>
        <v>-6.2023470983278269E-2</v>
      </c>
      <c r="Q50" s="102"/>
      <c r="S50" s="102"/>
      <c r="U50" s="102"/>
      <c r="W50" s="102"/>
    </row>
    <row r="51" spans="2:23" ht="25.5" x14ac:dyDescent="0.2">
      <c r="B51" s="71" t="s">
        <v>33</v>
      </c>
      <c r="C51" s="21"/>
      <c r="D51" s="22" t="s">
        <v>21</v>
      </c>
      <c r="E51" s="23"/>
      <c r="F51" s="72">
        <f>'Res (100)'!F51</f>
        <v>3.5999999999999999E-3</v>
      </c>
      <c r="G51" s="64">
        <f>G49</f>
        <v>2067</v>
      </c>
      <c r="H51" s="73">
        <f t="shared" ref="H51:H57" si="14">G51*F51</f>
        <v>7.4411999999999994</v>
      </c>
      <c r="I51" s="27"/>
      <c r="J51" s="72">
        <f>F51</f>
        <v>3.5999999999999999E-3</v>
      </c>
      <c r="K51" s="65">
        <f>K49</f>
        <v>2067</v>
      </c>
      <c r="L51" s="73">
        <f t="shared" ref="L51:L57" si="15">K51*J51</f>
        <v>7.4411999999999994</v>
      </c>
      <c r="M51" s="27"/>
      <c r="N51" s="30">
        <f t="shared" si="13"/>
        <v>0</v>
      </c>
      <c r="O51" s="74">
        <f t="shared" si="10"/>
        <v>0</v>
      </c>
      <c r="Q51" s="107"/>
      <c r="S51" s="107"/>
      <c r="U51" s="107"/>
      <c r="W51" s="107"/>
    </row>
    <row r="52" spans="2:23" ht="25.5" x14ac:dyDescent="0.2">
      <c r="B52" s="71" t="s">
        <v>34</v>
      </c>
      <c r="C52" s="21"/>
      <c r="D52" s="22" t="s">
        <v>21</v>
      </c>
      <c r="E52" s="23"/>
      <c r="F52" s="72">
        <f>'Res (100)'!F52</f>
        <v>1.2999999999999999E-3</v>
      </c>
      <c r="G52" s="64">
        <f>G49</f>
        <v>2067</v>
      </c>
      <c r="H52" s="73">
        <f t="shared" si="14"/>
        <v>2.6871</v>
      </c>
      <c r="I52" s="27"/>
      <c r="J52" s="72">
        <f>F52</f>
        <v>1.2999999999999999E-3</v>
      </c>
      <c r="K52" s="65">
        <f>K49</f>
        <v>2067</v>
      </c>
      <c r="L52" s="73">
        <f t="shared" si="15"/>
        <v>2.6871</v>
      </c>
      <c r="M52" s="27"/>
      <c r="N52" s="30">
        <f t="shared" si="13"/>
        <v>0</v>
      </c>
      <c r="O52" s="74">
        <f t="shared" si="10"/>
        <v>0</v>
      </c>
      <c r="Q52" s="107"/>
      <c r="S52" s="107"/>
      <c r="U52" s="107"/>
      <c r="W52" s="107"/>
    </row>
    <row r="53" spans="2:23" x14ac:dyDescent="0.2">
      <c r="B53" s="21" t="s">
        <v>35</v>
      </c>
      <c r="C53" s="21"/>
      <c r="D53" s="22" t="s">
        <v>18</v>
      </c>
      <c r="E53" s="23"/>
      <c r="F53" s="72">
        <f>'Res (100)'!F53</f>
        <v>0.25</v>
      </c>
      <c r="G53" s="25">
        <v>1</v>
      </c>
      <c r="H53" s="73">
        <f t="shared" si="14"/>
        <v>0.25</v>
      </c>
      <c r="I53" s="27"/>
      <c r="J53" s="72">
        <f>F53</f>
        <v>0.25</v>
      </c>
      <c r="K53" s="29">
        <v>1</v>
      </c>
      <c r="L53" s="73">
        <f t="shared" si="15"/>
        <v>0.25</v>
      </c>
      <c r="M53" s="27"/>
      <c r="N53" s="30">
        <f t="shared" si="13"/>
        <v>0</v>
      </c>
      <c r="O53" s="74">
        <f t="shared" si="10"/>
        <v>0</v>
      </c>
      <c r="Q53" s="107"/>
      <c r="S53" s="107"/>
      <c r="U53" s="107"/>
      <c r="W53" s="107"/>
    </row>
    <row r="54" spans="2:23" x14ac:dyDescent="0.2">
      <c r="B54" s="21" t="s">
        <v>122</v>
      </c>
      <c r="C54" s="21"/>
      <c r="D54" s="22"/>
      <c r="E54" s="23"/>
      <c r="F54" s="72">
        <f>'Res (1500)'!F54</f>
        <v>1.1000000000000001E-3</v>
      </c>
      <c r="G54" s="25">
        <f>$F$18*(1+F70)</f>
        <v>2067</v>
      </c>
      <c r="H54" s="73">
        <f>G54*F54</f>
        <v>2.2737000000000003</v>
      </c>
      <c r="I54" s="27"/>
      <c r="J54" s="72">
        <f>'Res (1500)'!J54</f>
        <v>1.1000000000000001E-3</v>
      </c>
      <c r="K54" s="25">
        <f>$F$18*(1+J70)</f>
        <v>2067</v>
      </c>
      <c r="L54" s="73">
        <f>K54*J54</f>
        <v>2.2737000000000003</v>
      </c>
      <c r="M54" s="27"/>
      <c r="N54" s="30"/>
      <c r="O54" s="74"/>
      <c r="Q54" s="107"/>
      <c r="S54" s="107"/>
      <c r="U54" s="107"/>
      <c r="W54" s="107"/>
    </row>
    <row r="55" spans="2:23" x14ac:dyDescent="0.2">
      <c r="B55" s="49" t="s">
        <v>37</v>
      </c>
      <c r="C55" s="21"/>
      <c r="D55" s="22"/>
      <c r="E55" s="23"/>
      <c r="F55" s="72">
        <f>'Res (100)'!F55</f>
        <v>8.6999999999999994E-2</v>
      </c>
      <c r="G55" s="77">
        <f>0.65*$F$18</f>
        <v>1300</v>
      </c>
      <c r="H55" s="73">
        <f t="shared" si="14"/>
        <v>113.1</v>
      </c>
      <c r="I55" s="27"/>
      <c r="J55" s="72">
        <f>F55</f>
        <v>8.6999999999999994E-2</v>
      </c>
      <c r="K55" s="77">
        <f>$G$55</f>
        <v>1300</v>
      </c>
      <c r="L55" s="73">
        <f t="shared" si="15"/>
        <v>113.1</v>
      </c>
      <c r="M55" s="27"/>
      <c r="N55" s="30">
        <f t="shared" si="13"/>
        <v>0</v>
      </c>
      <c r="O55" s="74">
        <f t="shared" si="10"/>
        <v>0</v>
      </c>
      <c r="Q55" s="107"/>
      <c r="S55" s="107"/>
      <c r="U55" s="107"/>
      <c r="W55" s="107"/>
    </row>
    <row r="56" spans="2:23" x14ac:dyDescent="0.2">
      <c r="B56" s="49" t="s">
        <v>38</v>
      </c>
      <c r="C56" s="21"/>
      <c r="D56" s="22"/>
      <c r="E56" s="23"/>
      <c r="F56" s="72">
        <f>'Res (100)'!F56</f>
        <v>0.13200000000000001</v>
      </c>
      <c r="G56" s="77">
        <f>0.17*$F$18</f>
        <v>340</v>
      </c>
      <c r="H56" s="73">
        <f t="shared" si="14"/>
        <v>44.88</v>
      </c>
      <c r="I56" s="27"/>
      <c r="J56" s="72">
        <f>F56</f>
        <v>0.13200000000000001</v>
      </c>
      <c r="K56" s="77">
        <f>$G$56</f>
        <v>340</v>
      </c>
      <c r="L56" s="73">
        <f t="shared" si="15"/>
        <v>44.88</v>
      </c>
      <c r="M56" s="27"/>
      <c r="N56" s="30">
        <f t="shared" si="13"/>
        <v>0</v>
      </c>
      <c r="O56" s="74">
        <f t="shared" si="10"/>
        <v>0</v>
      </c>
      <c r="Q56" s="107"/>
      <c r="S56" s="107"/>
      <c r="U56" s="107"/>
      <c r="W56" s="107"/>
    </row>
    <row r="57" spans="2:23" x14ac:dyDescent="0.2">
      <c r="B57" s="11" t="s">
        <v>39</v>
      </c>
      <c r="C57" s="21"/>
      <c r="D57" s="22"/>
      <c r="E57" s="23"/>
      <c r="F57" s="72">
        <f>'Res (100)'!F57</f>
        <v>0.18</v>
      </c>
      <c r="G57" s="77">
        <f>0.18*$F$18</f>
        <v>360</v>
      </c>
      <c r="H57" s="73">
        <f t="shared" si="14"/>
        <v>64.8</v>
      </c>
      <c r="I57" s="27"/>
      <c r="J57" s="72">
        <f>F57</f>
        <v>0.18</v>
      </c>
      <c r="K57" s="77">
        <f>$G$57</f>
        <v>360</v>
      </c>
      <c r="L57" s="73">
        <f t="shared" si="15"/>
        <v>64.8</v>
      </c>
      <c r="M57" s="27"/>
      <c r="N57" s="30">
        <f t="shared" si="13"/>
        <v>0</v>
      </c>
      <c r="O57" s="74">
        <f t="shared" si="10"/>
        <v>0</v>
      </c>
      <c r="Q57" s="107"/>
      <c r="S57" s="107"/>
      <c r="U57" s="107"/>
      <c r="W57" s="107"/>
    </row>
    <row r="58" spans="2:23" s="85" customFormat="1" x14ac:dyDescent="0.2">
      <c r="B58" s="78" t="s">
        <v>40</v>
      </c>
      <c r="C58" s="79"/>
      <c r="D58" s="80"/>
      <c r="E58" s="81"/>
      <c r="F58" s="72">
        <f>'Res (100)'!F58</f>
        <v>0.10299999999999999</v>
      </c>
      <c r="G58" s="82">
        <f>IF(AND($Q$1=1, F18&gt;=600), 600, IF(AND($Q$1=1, AND(F18&lt;600, F18&gt;=0)), F18, IF(AND($Q$1=2, F18&gt;=1000), 1000, IF(AND($Q$1=2, AND(F18&lt;1000, F18&gt;=0)), F18))))</f>
        <v>600</v>
      </c>
      <c r="H58" s="73">
        <f>G58*F58</f>
        <v>61.8</v>
      </c>
      <c r="I58" s="83"/>
      <c r="J58" s="72">
        <f>F58</f>
        <v>0.10299999999999999</v>
      </c>
      <c r="K58" s="82">
        <f>$G$58</f>
        <v>600</v>
      </c>
      <c r="L58" s="73">
        <f>K58*J58</f>
        <v>61.8</v>
      </c>
      <c r="M58" s="83"/>
      <c r="N58" s="84">
        <f t="shared" si="13"/>
        <v>0</v>
      </c>
      <c r="O58" s="74">
        <f t="shared" si="10"/>
        <v>0</v>
      </c>
      <c r="Q58" s="143"/>
      <c r="R58" s="212"/>
      <c r="S58" s="143"/>
      <c r="T58" s="212"/>
      <c r="U58" s="143"/>
      <c r="V58" s="212"/>
      <c r="W58" s="143"/>
    </row>
    <row r="59" spans="2:23" s="85" customFormat="1" ht="13.5" thickBot="1" x14ac:dyDescent="0.25">
      <c r="B59" s="78" t="s">
        <v>41</v>
      </c>
      <c r="C59" s="79"/>
      <c r="D59" s="80"/>
      <c r="E59" s="81"/>
      <c r="F59" s="72">
        <f>'Res (100)'!F59</f>
        <v>0.121</v>
      </c>
      <c r="G59" s="82">
        <f>IF(AND($Q$1=1, F18&gt;=600), F18-600, IF(AND($Q$1=1, AND(F18&lt;600, F18&gt;=0)), 0, IF(AND($Q$1=2, F18&gt;=1000), F18-1000, IF(AND($Q$1=2, AND(F18&lt;1000, F18&gt;=0)), 0))))</f>
        <v>1400</v>
      </c>
      <c r="H59" s="73">
        <f>G59*F59</f>
        <v>169.4</v>
      </c>
      <c r="I59" s="83"/>
      <c r="J59" s="72">
        <f>F59</f>
        <v>0.121</v>
      </c>
      <c r="K59" s="82">
        <f>$G$59</f>
        <v>1400</v>
      </c>
      <c r="L59" s="73">
        <f>K59*J59</f>
        <v>169.4</v>
      </c>
      <c r="M59" s="83"/>
      <c r="N59" s="84">
        <f t="shared" si="13"/>
        <v>0</v>
      </c>
      <c r="O59" s="74">
        <f t="shared" si="10"/>
        <v>0</v>
      </c>
      <c r="Q59" s="143"/>
      <c r="R59" s="212"/>
      <c r="S59" s="143"/>
      <c r="T59" s="212"/>
      <c r="U59" s="143"/>
      <c r="V59" s="212"/>
      <c r="W59" s="143"/>
    </row>
    <row r="60" spans="2:23" ht="8.25" customHeight="1" thickBot="1" x14ac:dyDescent="0.25">
      <c r="B60" s="86"/>
      <c r="C60" s="87"/>
      <c r="D60" s="88"/>
      <c r="E60" s="87"/>
      <c r="F60" s="89"/>
      <c r="G60" s="90"/>
      <c r="H60" s="91"/>
      <c r="I60" s="92"/>
      <c r="J60" s="89"/>
      <c r="K60" s="93"/>
      <c r="L60" s="91"/>
      <c r="M60" s="92"/>
      <c r="N60" s="94"/>
      <c r="O60" s="95"/>
      <c r="Q60" s="107"/>
      <c r="S60" s="107"/>
      <c r="U60" s="107"/>
      <c r="W60" s="107"/>
    </row>
    <row r="61" spans="2:23" x14ac:dyDescent="0.2">
      <c r="B61" s="96" t="s">
        <v>42</v>
      </c>
      <c r="C61" s="21"/>
      <c r="D61" s="21"/>
      <c r="E61" s="21"/>
      <c r="F61" s="97"/>
      <c r="G61" s="98"/>
      <c r="H61" s="99">
        <f>SUM(H51:H57,H50)</f>
        <v>316.42392000000001</v>
      </c>
      <c r="I61" s="100"/>
      <c r="J61" s="101"/>
      <c r="K61" s="101"/>
      <c r="L61" s="99">
        <f>SUM(L51:L57,L50)</f>
        <v>311.40052000000003</v>
      </c>
      <c r="M61" s="102"/>
      <c r="N61" s="103">
        <f t="shared" ref="N61" si="16">L61-H61</f>
        <v>-5.023399999999981</v>
      </c>
      <c r="O61" s="104">
        <f t="shared" ref="O61" si="17">IF((H61)=0,"",(N61/H61))</f>
        <v>-1.5875538107232794E-2</v>
      </c>
      <c r="Q61" s="102"/>
      <c r="S61" s="102"/>
      <c r="U61" s="102"/>
      <c r="W61" s="102"/>
    </row>
    <row r="62" spans="2:23" x14ac:dyDescent="0.2">
      <c r="B62" s="105" t="s">
        <v>43</v>
      </c>
      <c r="C62" s="21"/>
      <c r="D62" s="21"/>
      <c r="E62" s="21"/>
      <c r="F62" s="106">
        <v>0.13</v>
      </c>
      <c r="G62" s="107"/>
      <c r="H62" s="108">
        <f>H61*F62</f>
        <v>41.1351096</v>
      </c>
      <c r="I62" s="109"/>
      <c r="J62" s="110">
        <v>0.13</v>
      </c>
      <c r="K62" s="109"/>
      <c r="L62" s="111">
        <f>L61*J62</f>
        <v>40.482067600000008</v>
      </c>
      <c r="M62" s="112"/>
      <c r="N62" s="113">
        <f t="shared" si="13"/>
        <v>-0.65304199999999213</v>
      </c>
      <c r="O62" s="114">
        <f t="shared" si="10"/>
        <v>-1.5875538107232662E-2</v>
      </c>
      <c r="Q62" s="112"/>
      <c r="S62" s="112"/>
      <c r="U62" s="112"/>
      <c r="W62" s="112"/>
    </row>
    <row r="63" spans="2:23" ht="13.5" thickBot="1" x14ac:dyDescent="0.25">
      <c r="B63" s="115" t="s">
        <v>44</v>
      </c>
      <c r="C63" s="21"/>
      <c r="D63" s="21"/>
      <c r="E63" s="21"/>
      <c r="F63" s="116"/>
      <c r="G63" s="107"/>
      <c r="H63" s="99">
        <f>H61+H62</f>
        <v>357.55902960000003</v>
      </c>
      <c r="I63" s="109"/>
      <c r="J63" s="109"/>
      <c r="K63" s="109"/>
      <c r="L63" s="220">
        <f>L61+L62</f>
        <v>351.88258760000002</v>
      </c>
      <c r="M63" s="112"/>
      <c r="N63" s="103">
        <f t="shared" si="13"/>
        <v>-5.6764420000000086</v>
      </c>
      <c r="O63" s="104">
        <f t="shared" si="10"/>
        <v>-1.5875538107232877E-2</v>
      </c>
      <c r="Q63" s="112"/>
      <c r="S63" s="112"/>
      <c r="U63" s="112"/>
      <c r="W63" s="112"/>
    </row>
    <row r="64" spans="2:23" s="85" customFormat="1" ht="8.25" customHeight="1" thickBot="1" x14ac:dyDescent="0.25">
      <c r="B64" s="117"/>
      <c r="C64" s="118"/>
      <c r="D64" s="119"/>
      <c r="E64" s="118"/>
      <c r="F64" s="89"/>
      <c r="G64" s="120"/>
      <c r="H64" s="91"/>
      <c r="I64" s="121"/>
      <c r="J64" s="89"/>
      <c r="K64" s="122"/>
      <c r="L64" s="91"/>
      <c r="M64" s="121"/>
      <c r="N64" s="123"/>
      <c r="O64" s="95"/>
      <c r="Q64" s="143"/>
      <c r="R64" s="212"/>
      <c r="S64" s="143"/>
      <c r="T64" s="212"/>
      <c r="U64" s="143"/>
      <c r="V64" s="212"/>
      <c r="W64" s="143"/>
    </row>
    <row r="65" spans="1:23" s="85" customFormat="1" x14ac:dyDescent="0.2">
      <c r="B65" s="124" t="s">
        <v>45</v>
      </c>
      <c r="C65" s="79"/>
      <c r="D65" s="79"/>
      <c r="E65" s="79"/>
      <c r="F65" s="125"/>
      <c r="G65" s="126"/>
      <c r="H65" s="127">
        <f>SUM(H58:H59,H50,H51:H54)</f>
        <v>324.84391999999997</v>
      </c>
      <c r="I65" s="128"/>
      <c r="J65" s="129"/>
      <c r="K65" s="129"/>
      <c r="L65" s="127">
        <f>SUM(L58:L59,L50,L51:L54)</f>
        <v>319.82051999999999</v>
      </c>
      <c r="M65" s="130"/>
      <c r="N65" s="131">
        <f t="shared" ref="N65:N67" si="18">L65-H65</f>
        <v>-5.023399999999981</v>
      </c>
      <c r="O65" s="104">
        <f t="shared" ref="O65:O67" si="19">IF((H65)=0,"",(N65/H65))</f>
        <v>-1.5464041931275738E-2</v>
      </c>
      <c r="Q65" s="130"/>
      <c r="R65" s="212"/>
      <c r="S65" s="130"/>
      <c r="T65" s="212"/>
      <c r="U65" s="130"/>
      <c r="V65" s="212"/>
      <c r="W65" s="130"/>
    </row>
    <row r="66" spans="1:23" s="85" customFormat="1" x14ac:dyDescent="0.2">
      <c r="B66" s="132" t="s">
        <v>43</v>
      </c>
      <c r="C66" s="79"/>
      <c r="D66" s="79"/>
      <c r="E66" s="79"/>
      <c r="F66" s="133">
        <v>0.13</v>
      </c>
      <c r="G66" s="126"/>
      <c r="H66" s="134">
        <f>H65*F66</f>
        <v>42.2297096</v>
      </c>
      <c r="I66" s="135"/>
      <c r="J66" s="136">
        <v>0.13</v>
      </c>
      <c r="K66" s="137"/>
      <c r="L66" s="138">
        <f>L65*J66</f>
        <v>41.5766676</v>
      </c>
      <c r="M66" s="139"/>
      <c r="N66" s="140">
        <f t="shared" si="18"/>
        <v>-0.65304199999999923</v>
      </c>
      <c r="O66" s="114">
        <f t="shared" si="19"/>
        <v>-1.5464041931275778E-2</v>
      </c>
      <c r="Q66" s="139"/>
      <c r="R66" s="212"/>
      <c r="S66" s="139"/>
      <c r="T66" s="212"/>
      <c r="U66" s="139"/>
      <c r="V66" s="212"/>
      <c r="W66" s="139"/>
    </row>
    <row r="67" spans="1:23" s="85" customFormat="1" ht="13.5" thickBot="1" x14ac:dyDescent="0.25">
      <c r="B67" s="141" t="s">
        <v>44</v>
      </c>
      <c r="C67" s="79"/>
      <c r="D67" s="79"/>
      <c r="E67" s="79"/>
      <c r="F67" s="142"/>
      <c r="G67" s="143"/>
      <c r="H67" s="127">
        <f>H65+H66</f>
        <v>367.07362959999995</v>
      </c>
      <c r="I67" s="135"/>
      <c r="J67" s="135"/>
      <c r="K67" s="135"/>
      <c r="L67" s="219">
        <f>L65+L66</f>
        <v>361.3971876</v>
      </c>
      <c r="M67" s="139"/>
      <c r="N67" s="131">
        <f t="shared" si="18"/>
        <v>-5.6764419999999518</v>
      </c>
      <c r="O67" s="104">
        <f t="shared" si="19"/>
        <v>-1.5464041931275667E-2</v>
      </c>
      <c r="Q67" s="139"/>
      <c r="R67" s="212"/>
      <c r="S67" s="139"/>
      <c r="T67" s="212"/>
      <c r="U67" s="139"/>
      <c r="V67" s="212"/>
      <c r="W67" s="139"/>
    </row>
    <row r="68" spans="1:23" s="85" customFormat="1" ht="8.25" customHeight="1" thickBot="1" x14ac:dyDescent="0.25">
      <c r="B68" s="117"/>
      <c r="C68" s="118"/>
      <c r="D68" s="119"/>
      <c r="E68" s="118"/>
      <c r="F68" s="144"/>
      <c r="G68" s="145"/>
      <c r="H68" s="146"/>
      <c r="I68" s="147"/>
      <c r="J68" s="144"/>
      <c r="K68" s="120"/>
      <c r="L68" s="148"/>
      <c r="M68" s="121"/>
      <c r="N68" s="149"/>
      <c r="O68" s="95"/>
      <c r="Q68" s="143"/>
      <c r="R68" s="212"/>
      <c r="S68" s="143"/>
      <c r="T68" s="212"/>
      <c r="U68" s="143"/>
      <c r="V68" s="212"/>
      <c r="W68" s="143"/>
    </row>
    <row r="69" spans="1:23" x14ac:dyDescent="0.2">
      <c r="L69" s="150"/>
    </row>
    <row r="70" spans="1:23" x14ac:dyDescent="0.2">
      <c r="B70" s="12" t="s">
        <v>46</v>
      </c>
      <c r="F70" s="151">
        <f>'Res (100)'!F70</f>
        <v>3.3500000000000002E-2</v>
      </c>
      <c r="J70" s="151">
        <f>+'Res (100)'!J70</f>
        <v>3.3500000000000002E-2</v>
      </c>
    </row>
    <row r="72" spans="1:23" ht="13.5" customHeight="1" x14ac:dyDescent="0.2">
      <c r="Q72" s="210"/>
      <c r="R72" s="210"/>
      <c r="S72" s="6"/>
      <c r="T72" s="6"/>
      <c r="U72" s="6"/>
      <c r="V72" s="6"/>
      <c r="W72" s="6"/>
    </row>
    <row r="73" spans="1:23" ht="12" customHeight="1" x14ac:dyDescent="0.2">
      <c r="A73" s="6" t="s">
        <v>47</v>
      </c>
      <c r="Q73" s="210"/>
      <c r="R73" s="210"/>
      <c r="S73" s="6"/>
      <c r="T73" s="6"/>
      <c r="U73" s="6"/>
      <c r="V73" s="6"/>
      <c r="W73" s="6"/>
    </row>
    <row r="74" spans="1:23" x14ac:dyDescent="0.2">
      <c r="A74" s="6" t="s">
        <v>48</v>
      </c>
      <c r="Q74" s="210"/>
      <c r="R74" s="210"/>
      <c r="S74" s="6"/>
      <c r="T74" s="6"/>
      <c r="U74" s="6"/>
      <c r="V74" s="6"/>
      <c r="W74" s="6"/>
    </row>
    <row r="75" spans="1:23" x14ac:dyDescent="0.2">
      <c r="Q75" s="210"/>
      <c r="R75" s="210"/>
      <c r="S75" s="6"/>
      <c r="T75" s="6"/>
      <c r="U75" s="6"/>
      <c r="V75" s="6"/>
      <c r="W75" s="6"/>
    </row>
    <row r="76" spans="1:23" x14ac:dyDescent="0.2">
      <c r="A76" s="153" t="s">
        <v>136</v>
      </c>
      <c r="Q76" s="210"/>
      <c r="R76" s="210"/>
      <c r="S76" s="6"/>
      <c r="T76" s="6"/>
      <c r="U76" s="6"/>
      <c r="V76" s="6"/>
      <c r="W76" s="6"/>
    </row>
    <row r="77" spans="1:23" x14ac:dyDescent="0.2">
      <c r="A77" s="11" t="s">
        <v>49</v>
      </c>
      <c r="Q77" s="210"/>
      <c r="R77" s="210"/>
      <c r="S77" s="6"/>
      <c r="T77" s="6"/>
      <c r="U77" s="6"/>
      <c r="V77" s="6"/>
      <c r="W77" s="6"/>
    </row>
    <row r="78" spans="1:23" x14ac:dyDescent="0.2">
      <c r="Q78" s="210"/>
      <c r="R78" s="210"/>
      <c r="S78" s="6"/>
      <c r="T78" s="6"/>
      <c r="U78" s="6"/>
      <c r="V78" s="6"/>
      <c r="W78" s="6"/>
    </row>
    <row r="79" spans="1:23" x14ac:dyDescent="0.2">
      <c r="A79" s="6" t="s">
        <v>135</v>
      </c>
      <c r="Q79" s="210"/>
      <c r="R79" s="210"/>
      <c r="S79" s="6"/>
      <c r="T79" s="6"/>
      <c r="U79" s="6"/>
      <c r="V79" s="6"/>
      <c r="W79" s="6"/>
    </row>
    <row r="80" spans="1:23" x14ac:dyDescent="0.2">
      <c r="A80" s="6" t="s">
        <v>50</v>
      </c>
      <c r="Q80" s="210"/>
      <c r="R80" s="210"/>
      <c r="S80" s="6"/>
      <c r="T80" s="6"/>
      <c r="U80" s="6"/>
      <c r="V80" s="6"/>
      <c r="W80" s="6"/>
    </row>
    <row r="81" spans="1:23" x14ac:dyDescent="0.2">
      <c r="A81" s="6" t="s">
        <v>51</v>
      </c>
      <c r="Q81" s="210"/>
      <c r="R81" s="210"/>
      <c r="S81" s="6"/>
      <c r="T81" s="6"/>
      <c r="U81" s="6"/>
      <c r="V81" s="6"/>
      <c r="W81" s="6"/>
    </row>
    <row r="82" spans="1:23" x14ac:dyDescent="0.2">
      <c r="A82" s="6" t="s">
        <v>52</v>
      </c>
      <c r="Q82" s="210"/>
      <c r="R82" s="210"/>
      <c r="S82" s="6"/>
      <c r="T82" s="6"/>
      <c r="U82" s="6"/>
      <c r="V82" s="6"/>
      <c r="W82" s="6"/>
    </row>
    <row r="83" spans="1:23" x14ac:dyDescent="0.2">
      <c r="A83" s="6" t="s">
        <v>53</v>
      </c>
      <c r="Q83" s="210"/>
      <c r="R83" s="210"/>
      <c r="S83" s="6"/>
      <c r="T83" s="6"/>
      <c r="U83" s="6"/>
      <c r="V83" s="6"/>
      <c r="W83" s="6"/>
    </row>
    <row r="84" spans="1:23" x14ac:dyDescent="0.2">
      <c r="Q84" s="210"/>
      <c r="R84" s="210"/>
      <c r="S84" s="6"/>
      <c r="T84" s="6"/>
      <c r="U84" s="6"/>
      <c r="V84" s="6"/>
      <c r="W84" s="6"/>
    </row>
    <row r="85" spans="1:23" x14ac:dyDescent="0.2">
      <c r="A85" s="152"/>
      <c r="B85" s="6" t="s">
        <v>54</v>
      </c>
      <c r="Q85" s="210"/>
      <c r="R85" s="210"/>
      <c r="S85" s="6"/>
      <c r="T85" s="6"/>
      <c r="U85" s="6"/>
      <c r="V85" s="6"/>
      <c r="W85" s="6"/>
    </row>
    <row r="86" spans="1:23" x14ac:dyDescent="0.2">
      <c r="Q86" s="210"/>
      <c r="R86" s="210"/>
      <c r="S86" s="6"/>
      <c r="T86" s="6"/>
      <c r="U86" s="6"/>
      <c r="V86" s="6"/>
      <c r="W86" s="6"/>
    </row>
    <row r="87" spans="1:23" x14ac:dyDescent="0.2">
      <c r="B87" s="153" t="s">
        <v>55</v>
      </c>
      <c r="Q87" s="210"/>
      <c r="R87" s="210"/>
      <c r="S87" s="6"/>
      <c r="T87" s="6"/>
      <c r="U87" s="6"/>
      <c r="V87" s="6"/>
      <c r="W87"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E48:E49 E68 E64 E23:E38 E40:E46 E51:E60">
      <formula1>#REF!</formula1>
    </dataValidation>
    <dataValidation type="list" allowBlank="1" showInputMessage="1" showErrorMessage="1" prompt="Select Charge Unit - monthly, per kWh, per kW" sqref="D68 D64 D23:D38 D48:D49 D40:D46 D51:D60">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60" fitToWidth="2" orientation="portrait" r:id="rId1"/>
  <headerFooter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defaultSize="0" autoFill="0" autoLine="0" autoPict="0">
                <anchor moveWithCells="1">
                  <from>
                    <xdr:col>6</xdr:col>
                    <xdr:colOff>476250</xdr:colOff>
                    <xdr:row>16</xdr:row>
                    <xdr:rowOff>190500</xdr:rowOff>
                  </from>
                  <to>
                    <xdr:col>9</xdr:col>
                    <xdr:colOff>466725</xdr:colOff>
                    <xdr:row>18</xdr:row>
                    <xdr:rowOff>47625</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9</xdr:col>
                    <xdr:colOff>352425</xdr:colOff>
                    <xdr:row>16</xdr:row>
                    <xdr:rowOff>133350</xdr:rowOff>
                  </from>
                  <to>
                    <xdr:col>15</xdr:col>
                    <xdr:colOff>209550</xdr:colOff>
                    <xdr:row>18</xdr:row>
                    <xdr:rowOff>152400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88"/>
  <sheetViews>
    <sheetView showGridLines="0" view="pageBreakPreview" zoomScale="70" zoomScaleNormal="85" zoomScaleSheetLayoutView="70" workbookViewId="0">
      <selection activeCell="N44" sqref="N44"/>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5.42578125" style="6" customWidth="1"/>
    <col min="7" max="7" width="9.85546875" style="6" bestFit="1" customWidth="1"/>
    <col min="8" max="8" width="12.5703125" style="6" bestFit="1" customWidth="1"/>
    <col min="9" max="9" width="2.85546875" style="6" customWidth="1"/>
    <col min="10" max="10" width="11.5703125" style="6" bestFit="1" customWidth="1"/>
    <col min="11" max="11" width="9.85546875" style="6" bestFit="1" customWidth="1"/>
    <col min="12" max="12" width="12.28515625" style="6" bestFit="1" customWidth="1"/>
    <col min="13" max="13" width="2.85546875" style="6" customWidth="1"/>
    <col min="14" max="14" width="11.85546875" style="6" bestFit="1" customWidth="1"/>
    <col min="15" max="15" width="12" style="6" bestFit="1" customWidth="1"/>
    <col min="16" max="16" width="3.85546875" style="6" customWidth="1"/>
    <col min="17" max="17" width="2.7109375" style="21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7109375" style="211" bestFit="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9"/>
      <c r="D10" s="169"/>
      <c r="E10" s="169"/>
      <c r="F10" s="167" t="s">
        <v>137</v>
      </c>
      <c r="G10" s="169"/>
      <c r="H10" s="169"/>
      <c r="I10" s="169"/>
      <c r="J10" s="169"/>
      <c r="K10" s="169"/>
      <c r="L10" s="169"/>
      <c r="M10" s="169"/>
      <c r="N10" s="169"/>
      <c r="O10" s="169"/>
      <c r="P10"/>
    </row>
    <row r="11" spans="1:23" ht="18.75" customHeight="1" x14ac:dyDescent="0.25">
      <c r="C11" s="169"/>
      <c r="D11" s="169"/>
      <c r="E11" s="169"/>
      <c r="F11" s="169" t="s">
        <v>0</v>
      </c>
      <c r="G11" s="169"/>
      <c r="H11" s="169"/>
      <c r="I11" s="169"/>
      <c r="J11" s="169"/>
      <c r="K11" s="169"/>
      <c r="L11" s="169"/>
      <c r="M11" s="169"/>
      <c r="N11" s="169"/>
      <c r="O11" s="169"/>
      <c r="P11"/>
    </row>
    <row r="12" spans="1:23" ht="7.5" customHeight="1" x14ac:dyDescent="0.2">
      <c r="L12"/>
      <c r="M12"/>
      <c r="N12"/>
      <c r="O12"/>
      <c r="P12"/>
    </row>
    <row r="13" spans="1:23" ht="7.5" customHeight="1" x14ac:dyDescent="0.2">
      <c r="L13"/>
      <c r="M13"/>
      <c r="N13"/>
      <c r="O13"/>
      <c r="P13"/>
    </row>
    <row r="14" spans="1:23" ht="15.75" x14ac:dyDescent="0.2">
      <c r="B14" s="7" t="s">
        <v>1</v>
      </c>
      <c r="D14" s="269" t="s">
        <v>56</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1000</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'Proposed Rates'!D8</f>
        <v>17.23</v>
      </c>
      <c r="G23" s="25">
        <v>1</v>
      </c>
      <c r="H23" s="26">
        <f>G23*F23</f>
        <v>17.23</v>
      </c>
      <c r="I23" s="27"/>
      <c r="J23" s="28">
        <f>+'Proposed Rates'!E8</f>
        <v>17.89</v>
      </c>
      <c r="K23" s="29">
        <v>1</v>
      </c>
      <c r="L23" s="26">
        <f>K23*J23</f>
        <v>17.89</v>
      </c>
      <c r="M23" s="27"/>
      <c r="N23" s="30">
        <f>L23-H23</f>
        <v>0.66000000000000014</v>
      </c>
      <c r="O23" s="31">
        <f>IF((H23)=0,"",(N23/H23))</f>
        <v>3.8305281485780621E-2</v>
      </c>
      <c r="Q23" s="107"/>
      <c r="S23" s="107"/>
      <c r="U23" s="107"/>
      <c r="W23" s="107"/>
    </row>
    <row r="24" spans="2:23" x14ac:dyDescent="0.2">
      <c r="B24" s="21" t="s">
        <v>19</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'Proposed Rates'!D21</f>
        <v>2.1600000000000001E-2</v>
      </c>
      <c r="G29" s="25">
        <f>$F$18</f>
        <v>1000</v>
      </c>
      <c r="H29" s="26">
        <f t="shared" si="0"/>
        <v>21.6</v>
      </c>
      <c r="I29" s="27"/>
      <c r="J29" s="28">
        <f>+'Proposed Rates'!E21</f>
        <v>2.2700000000000001E-2</v>
      </c>
      <c r="K29" s="25">
        <f>$F$18</f>
        <v>1000</v>
      </c>
      <c r="L29" s="26">
        <f t="shared" si="1"/>
        <v>22.700000000000003</v>
      </c>
      <c r="M29" s="27"/>
      <c r="N29" s="30">
        <f t="shared" si="2"/>
        <v>1.1000000000000014</v>
      </c>
      <c r="O29" s="31">
        <f t="shared" si="3"/>
        <v>5.0925925925925986E-2</v>
      </c>
      <c r="Q29" s="107"/>
      <c r="S29" s="107"/>
      <c r="U29" s="107"/>
      <c r="W29" s="107"/>
    </row>
    <row r="30" spans="2:23" x14ac:dyDescent="0.2">
      <c r="B30" s="21" t="s">
        <v>22</v>
      </c>
      <c r="C30" s="21"/>
      <c r="D30" s="22"/>
      <c r="E30" s="23"/>
      <c r="F30" s="24"/>
      <c r="G30" s="25">
        <f t="shared" ref="G30" si="4">$F$18</f>
        <v>1000</v>
      </c>
      <c r="H30" s="26">
        <f t="shared" si="0"/>
        <v>0</v>
      </c>
      <c r="I30" s="27"/>
      <c r="J30" s="28"/>
      <c r="K30" s="25">
        <f t="shared" ref="K30:K38" si="5">$F$18</f>
        <v>1000</v>
      </c>
      <c r="L30" s="26">
        <f t="shared" si="1"/>
        <v>0</v>
      </c>
      <c r="M30" s="27"/>
      <c r="N30" s="30">
        <f t="shared" si="2"/>
        <v>0</v>
      </c>
      <c r="O30" s="31" t="str">
        <f t="shared" si="3"/>
        <v/>
      </c>
      <c r="Q30" s="107"/>
      <c r="S30" s="107"/>
      <c r="U30" s="107"/>
      <c r="W30" s="107"/>
    </row>
    <row r="31" spans="2:23" x14ac:dyDescent="0.2">
      <c r="B31" s="21" t="s">
        <v>23</v>
      </c>
      <c r="C31" s="21"/>
      <c r="D31" s="22" t="s">
        <v>21</v>
      </c>
      <c r="E31" s="23"/>
      <c r="F31" s="50">
        <f>'Proposed Rates'!D68</f>
        <v>2.3000000000000001E-4</v>
      </c>
      <c r="G31" s="25">
        <f>$F$18</f>
        <v>1000</v>
      </c>
      <c r="H31" s="26">
        <f t="shared" si="0"/>
        <v>0.23</v>
      </c>
      <c r="I31" s="27"/>
      <c r="J31" s="52">
        <f>+'Proposed Rates'!E68</f>
        <v>0</v>
      </c>
      <c r="K31" s="25">
        <f t="shared" si="5"/>
        <v>1000</v>
      </c>
      <c r="L31" s="26">
        <f t="shared" si="1"/>
        <v>0</v>
      </c>
      <c r="M31" s="27"/>
      <c r="N31" s="30">
        <f t="shared" si="2"/>
        <v>-0.23</v>
      </c>
      <c r="O31" s="31">
        <f t="shared" si="3"/>
        <v>-1</v>
      </c>
      <c r="Q31" s="107"/>
      <c r="S31" s="107"/>
      <c r="U31" s="107"/>
      <c r="W31" s="107"/>
    </row>
    <row r="32" spans="2:23" x14ac:dyDescent="0.2">
      <c r="B32" s="33"/>
      <c r="C32" s="21"/>
      <c r="D32" s="22"/>
      <c r="E32" s="23"/>
      <c r="F32" s="24"/>
      <c r="G32" s="25">
        <f t="shared" ref="G32:G38" si="6">$F$18</f>
        <v>1000</v>
      </c>
      <c r="H32" s="26">
        <f t="shared" si="0"/>
        <v>0</v>
      </c>
      <c r="I32" s="27"/>
      <c r="J32" s="28"/>
      <c r="K32" s="25">
        <f t="shared" si="5"/>
        <v>1000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1000</v>
      </c>
      <c r="H33" s="26">
        <f t="shared" si="0"/>
        <v>0</v>
      </c>
      <c r="I33" s="27"/>
      <c r="J33" s="28"/>
      <c r="K33" s="25">
        <f t="shared" si="5"/>
        <v>1000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1000</v>
      </c>
      <c r="H34" s="26">
        <f t="shared" si="0"/>
        <v>0</v>
      </c>
      <c r="I34" s="27"/>
      <c r="J34" s="28"/>
      <c r="K34" s="25">
        <f t="shared" si="5"/>
        <v>1000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1000</v>
      </c>
      <c r="H35" s="26">
        <f t="shared" si="0"/>
        <v>0</v>
      </c>
      <c r="I35" s="27"/>
      <c r="J35" s="28"/>
      <c r="K35" s="25">
        <f t="shared" si="5"/>
        <v>1000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1000</v>
      </c>
      <c r="H36" s="26">
        <f t="shared" si="0"/>
        <v>0</v>
      </c>
      <c r="I36" s="27"/>
      <c r="J36" s="28"/>
      <c r="K36" s="25">
        <f t="shared" si="5"/>
        <v>1000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1000</v>
      </c>
      <c r="H37" s="26">
        <f t="shared" si="0"/>
        <v>0</v>
      </c>
      <c r="I37" s="27"/>
      <c r="J37" s="28"/>
      <c r="K37" s="25">
        <f t="shared" si="5"/>
        <v>1000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1000</v>
      </c>
      <c r="H38" s="26">
        <f t="shared" si="0"/>
        <v>0</v>
      </c>
      <c r="I38" s="27"/>
      <c r="J38" s="28"/>
      <c r="K38" s="25">
        <f t="shared" si="5"/>
        <v>1000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39.059999999999995</v>
      </c>
      <c r="I39" s="40"/>
      <c r="J39" s="41"/>
      <c r="K39" s="42"/>
      <c r="L39" s="39">
        <f>SUM(L23:L38)</f>
        <v>40.590000000000003</v>
      </c>
      <c r="M39" s="40"/>
      <c r="N39" s="43">
        <f t="shared" si="2"/>
        <v>1.5300000000000082</v>
      </c>
      <c r="O39" s="44">
        <f t="shared" si="3"/>
        <v>3.9170506912442615E-2</v>
      </c>
      <c r="Q39" s="107"/>
      <c r="R39" s="211"/>
      <c r="S39" s="107"/>
      <c r="T39" s="211"/>
      <c r="U39" s="107"/>
      <c r="V39" s="211"/>
      <c r="W39" s="107"/>
    </row>
    <row r="40" spans="2:23" ht="38.25" x14ac:dyDescent="0.2">
      <c r="B40" s="46" t="str">
        <f>+'Res (100)'!B40</f>
        <v>Deferral/Variance Account Disposition Rate Rider Group 1</v>
      </c>
      <c r="C40" s="21"/>
      <c r="D40" s="22" t="s">
        <v>21</v>
      </c>
      <c r="E40" s="23"/>
      <c r="F40" s="50">
        <f>'Proposed Rates'!D39</f>
        <v>-8.4000000000000003E-4</v>
      </c>
      <c r="G40" s="25">
        <f>$F$18</f>
        <v>1000</v>
      </c>
      <c r="H40" s="26">
        <f>G40*F40</f>
        <v>-0.84000000000000008</v>
      </c>
      <c r="I40" s="27"/>
      <c r="J40" s="28">
        <f>+'Proposed Rates'!E39</f>
        <v>0</v>
      </c>
      <c r="K40" s="25">
        <f>$F$18</f>
        <v>1000</v>
      </c>
      <c r="L40" s="26">
        <f>K40*J40</f>
        <v>0</v>
      </c>
      <c r="M40" s="27"/>
      <c r="N40" s="30">
        <f>L40-H40</f>
        <v>0.84000000000000008</v>
      </c>
      <c r="O40" s="31">
        <f>IF((H40)=0,"",(N40/H40))</f>
        <v>-1</v>
      </c>
      <c r="Q40" s="107"/>
      <c r="S40" s="107"/>
      <c r="U40" s="107"/>
      <c r="W40" s="107"/>
    </row>
    <row r="41" spans="2:23" ht="38.25" x14ac:dyDescent="0.2">
      <c r="B41" s="46" t="str">
        <f>+'Res (100)'!B41</f>
        <v>Deferral/Variance Account Disposition Rate Rider Group 2</v>
      </c>
      <c r="C41" s="21"/>
      <c r="D41" s="22" t="s">
        <v>21</v>
      </c>
      <c r="E41" s="23"/>
      <c r="F41" s="50">
        <f>'Proposed Rates'!D53</f>
        <v>6.9999999999999994E-5</v>
      </c>
      <c r="G41" s="25">
        <f t="shared" ref="G41:G43" si="7">$F$18</f>
        <v>1000</v>
      </c>
      <c r="H41" s="26">
        <f t="shared" ref="H41:H45" si="8">G41*F41</f>
        <v>6.9999999999999993E-2</v>
      </c>
      <c r="I41" s="47"/>
      <c r="J41" s="28">
        <f>+'Proposed Rates'!E53</f>
        <v>0</v>
      </c>
      <c r="K41" s="25">
        <f t="shared" ref="K41:K43" si="9">$F$18</f>
        <v>1000</v>
      </c>
      <c r="L41" s="26">
        <f t="shared" ref="L41:L45" si="10">K41*J41</f>
        <v>0</v>
      </c>
      <c r="M41" s="48"/>
      <c r="N41" s="30">
        <f t="shared" ref="N41:N45" si="11">L41-H41</f>
        <v>-6.9999999999999993E-2</v>
      </c>
      <c r="O41" s="31">
        <f t="shared" ref="O41:O64" si="12">IF((H41)=0,"",(N41/H41))</f>
        <v>-1</v>
      </c>
      <c r="Q41" s="107"/>
      <c r="S41" s="107"/>
      <c r="U41" s="107"/>
      <c r="W41" s="107"/>
    </row>
    <row r="42" spans="2:23" ht="38.25" x14ac:dyDescent="0.2">
      <c r="B42" s="46" t="str">
        <f>+'Res (100)'!B42</f>
        <v>Deferral / Variance Accounts Balances (excluding Global Adj.) - NON-WMP</v>
      </c>
      <c r="C42" s="21"/>
      <c r="D42" s="22" t="s">
        <v>21</v>
      </c>
      <c r="E42" s="23"/>
      <c r="F42" s="24">
        <f>'Proposed Rates'!D98</f>
        <v>-1.5089999999999999E-3</v>
      </c>
      <c r="G42" s="25">
        <f t="shared" si="7"/>
        <v>1000</v>
      </c>
      <c r="H42" s="26">
        <f t="shared" si="8"/>
        <v>-1.5089999999999999</v>
      </c>
      <c r="I42" s="47"/>
      <c r="J42" s="28">
        <f>+'Proposed Rates'!E98</f>
        <v>-2.3E-3</v>
      </c>
      <c r="K42" s="25">
        <f t="shared" si="9"/>
        <v>1000</v>
      </c>
      <c r="L42" s="26">
        <f t="shared" si="10"/>
        <v>-2.2999999999999998</v>
      </c>
      <c r="M42" s="48"/>
      <c r="N42" s="30">
        <f t="shared" si="11"/>
        <v>-0.79099999999999993</v>
      </c>
      <c r="O42" s="31">
        <f t="shared" si="12"/>
        <v>0.52418820410868128</v>
      </c>
      <c r="Q42" s="107"/>
      <c r="S42" s="107"/>
      <c r="U42" s="107"/>
      <c r="W42" s="107"/>
    </row>
    <row r="43" spans="2:23" ht="38.25" x14ac:dyDescent="0.2">
      <c r="B43" s="46" t="s">
        <v>128</v>
      </c>
      <c r="C43" s="21"/>
      <c r="D43" s="22" t="s">
        <v>21</v>
      </c>
      <c r="E43" s="23"/>
      <c r="F43" s="24">
        <f>+'Proposed Rates'!D112</f>
        <v>0</v>
      </c>
      <c r="G43" s="25">
        <f t="shared" si="7"/>
        <v>1000</v>
      </c>
      <c r="H43" s="26">
        <f t="shared" si="8"/>
        <v>0</v>
      </c>
      <c r="I43" s="47"/>
      <c r="J43" s="233">
        <f>+'Proposed Rates'!E112</f>
        <v>2.7E-4</v>
      </c>
      <c r="K43" s="25">
        <f t="shared" si="9"/>
        <v>1000</v>
      </c>
      <c r="L43" s="26">
        <f t="shared" si="10"/>
        <v>0.27</v>
      </c>
      <c r="M43" s="48"/>
      <c r="N43" s="30">
        <f t="shared" si="11"/>
        <v>0.27</v>
      </c>
      <c r="O43" s="31" t="str">
        <f t="shared" si="12"/>
        <v/>
      </c>
      <c r="Q43" s="107"/>
      <c r="S43" s="107"/>
      <c r="U43" s="107"/>
      <c r="W43" s="107"/>
    </row>
    <row r="44" spans="2:23" x14ac:dyDescent="0.2">
      <c r="B44" s="49" t="s">
        <v>26</v>
      </c>
      <c r="C44" s="21"/>
      <c r="D44" s="22" t="s">
        <v>21</v>
      </c>
      <c r="E44" s="23"/>
      <c r="F44" s="50">
        <f>'Proposed Rates'!D127</f>
        <v>6.0000000000000002E-5</v>
      </c>
      <c r="G44" s="51">
        <f>$F$18*(1+F71)</f>
        <v>1033.5</v>
      </c>
      <c r="H44" s="26">
        <f>G44*F44</f>
        <v>6.2010000000000003E-2</v>
      </c>
      <c r="I44" s="27"/>
      <c r="J44" s="52">
        <f>'Proposed Rates'!E127</f>
        <v>6.9999999999999994E-5</v>
      </c>
      <c r="K44" s="51">
        <f>$F$18*(1+J71)</f>
        <v>1033.5</v>
      </c>
      <c r="L44" s="26">
        <f>K44*J44</f>
        <v>7.2344999999999993E-2</v>
      </c>
      <c r="M44" s="27"/>
      <c r="N44" s="30">
        <f>L44-H44</f>
        <v>1.033499999999999E-2</v>
      </c>
      <c r="O44" s="31">
        <f>IF((H44)=0,"",(N44/H44))</f>
        <v>0.16666666666666649</v>
      </c>
      <c r="Q44" s="107"/>
      <c r="S44" s="107"/>
      <c r="U44" s="107"/>
      <c r="W44" s="107"/>
    </row>
    <row r="45" spans="2:23" x14ac:dyDescent="0.2">
      <c r="B45" s="49" t="s">
        <v>27</v>
      </c>
      <c r="C45" s="21"/>
      <c r="D45" s="22"/>
      <c r="E45" s="23"/>
      <c r="F45" s="53">
        <f>IF(ISBLANK(D16)=TRUE, 0, IF(D16="TOU", 0.65*$F$56+0.17*$F$57+0.18*$F$58, IF(AND(D16="non-TOU", G60&gt;0), F60,F59)))</f>
        <v>0.11139</v>
      </c>
      <c r="G45" s="54">
        <f>$F$18*(1+$F$71)-$F$18</f>
        <v>33.5</v>
      </c>
      <c r="H45" s="26">
        <f t="shared" si="8"/>
        <v>3.7315650000000002</v>
      </c>
      <c r="I45" s="27"/>
      <c r="J45" s="55">
        <f>0.65*$J$56+0.17*$J$57+0.18*$J$58</f>
        <v>0.11139</v>
      </c>
      <c r="K45" s="54">
        <f>$F$18*(1+$J$71)-$F$18</f>
        <v>33.5</v>
      </c>
      <c r="L45" s="26">
        <f t="shared" si="10"/>
        <v>3.7315650000000002</v>
      </c>
      <c r="M45" s="27"/>
      <c r="N45" s="30">
        <f t="shared" si="11"/>
        <v>0</v>
      </c>
      <c r="O45" s="31">
        <f t="shared" si="12"/>
        <v>0</v>
      </c>
      <c r="Q45" s="107"/>
      <c r="S45" s="107"/>
      <c r="U45" s="107"/>
      <c r="W45" s="107"/>
    </row>
    <row r="46" spans="2:23" x14ac:dyDescent="0.2">
      <c r="B46" s="49" t="s">
        <v>28</v>
      </c>
      <c r="C46" s="21"/>
      <c r="D46" s="22" t="s">
        <v>18</v>
      </c>
      <c r="E46" s="23"/>
      <c r="F46" s="53">
        <f>'Proposed Rates'!D142</f>
        <v>0.79</v>
      </c>
      <c r="G46" s="25">
        <v>1</v>
      </c>
      <c r="H46" s="26">
        <f>G46*F46</f>
        <v>0.79</v>
      </c>
      <c r="I46" s="27"/>
      <c r="J46" s="53">
        <f>'Proposed Rates'!E142</f>
        <v>0.79</v>
      </c>
      <c r="K46" s="25">
        <v>1</v>
      </c>
      <c r="L46" s="26">
        <f>K46*J46</f>
        <v>0.79</v>
      </c>
      <c r="M46" s="27"/>
      <c r="N46" s="30">
        <f>L46-H46</f>
        <v>0</v>
      </c>
      <c r="O46" s="31">
        <f t="shared" si="12"/>
        <v>0</v>
      </c>
      <c r="Q46" s="107"/>
      <c r="S46" s="107"/>
      <c r="U46" s="107"/>
      <c r="W46" s="107"/>
    </row>
    <row r="47" spans="2:23" ht="25.5" x14ac:dyDescent="0.2">
      <c r="B47" s="56" t="s">
        <v>29</v>
      </c>
      <c r="C47" s="57"/>
      <c r="D47" s="57"/>
      <c r="E47" s="57"/>
      <c r="F47" s="58"/>
      <c r="G47" s="59"/>
      <c r="H47" s="60">
        <f>SUM(H40:H46)+H39</f>
        <v>41.364574999999995</v>
      </c>
      <c r="I47" s="40"/>
      <c r="J47" s="59"/>
      <c r="K47" s="61"/>
      <c r="L47" s="60">
        <f>SUM(L40:L46)+L39</f>
        <v>43.153910000000003</v>
      </c>
      <c r="M47" s="40"/>
      <c r="N47" s="43">
        <f t="shared" ref="N47:N64" si="13">L47-H47</f>
        <v>1.7893350000000083</v>
      </c>
      <c r="O47" s="44">
        <f t="shared" si="12"/>
        <v>4.325766673536495E-2</v>
      </c>
      <c r="Q47" s="107"/>
      <c r="S47" s="107"/>
      <c r="U47" s="107"/>
      <c r="W47" s="107"/>
    </row>
    <row r="48" spans="2:23" x14ac:dyDescent="0.2">
      <c r="B48" s="27" t="s">
        <v>30</v>
      </c>
      <c r="C48" s="27"/>
      <c r="D48" s="62" t="s">
        <v>21</v>
      </c>
      <c r="E48" s="63"/>
      <c r="F48" s="28">
        <f>'Proposed Rates'!D157</f>
        <v>6.8999999999999999E-3</v>
      </c>
      <c r="G48" s="64">
        <f>$F$18*(1+F71)</f>
        <v>1033.5</v>
      </c>
      <c r="H48" s="26">
        <f>G48*F48</f>
        <v>7.1311499999999999</v>
      </c>
      <c r="I48" s="27"/>
      <c r="J48" s="28">
        <f>'Proposed Rates'!E157</f>
        <v>6.7999999999999996E-3</v>
      </c>
      <c r="K48" s="65">
        <f>F18*(1+J71)</f>
        <v>1033.5</v>
      </c>
      <c r="L48" s="26">
        <f>K48*J48</f>
        <v>7.0278</v>
      </c>
      <c r="M48" s="27"/>
      <c r="N48" s="30">
        <f t="shared" si="13"/>
        <v>-0.10334999999999983</v>
      </c>
      <c r="O48" s="31">
        <f t="shared" si="12"/>
        <v>-1.4492753623188382E-2</v>
      </c>
      <c r="Q48" s="107"/>
      <c r="S48" s="107"/>
      <c r="U48" s="107"/>
      <c r="W48" s="107"/>
    </row>
    <row r="49" spans="2:23" ht="25.5" x14ac:dyDescent="0.2">
      <c r="B49" s="66" t="s">
        <v>31</v>
      </c>
      <c r="C49" s="27"/>
      <c r="D49" s="62" t="s">
        <v>21</v>
      </c>
      <c r="E49" s="63"/>
      <c r="F49" s="28">
        <f>'Proposed Rates'!D172</f>
        <v>4.4999999999999997E-3</v>
      </c>
      <c r="G49" s="64">
        <f>G48</f>
        <v>1033.5</v>
      </c>
      <c r="H49" s="26">
        <f>G49*F49</f>
        <v>4.6507499999999995</v>
      </c>
      <c r="I49" s="27"/>
      <c r="J49" s="28">
        <f>'Proposed Rates'!E172</f>
        <v>4.4999999999999997E-3</v>
      </c>
      <c r="K49" s="65">
        <f>K48</f>
        <v>1033.5</v>
      </c>
      <c r="L49" s="26">
        <f>K49*J49</f>
        <v>4.6507499999999995</v>
      </c>
      <c r="M49" s="27"/>
      <c r="N49" s="30">
        <f t="shared" si="13"/>
        <v>0</v>
      </c>
      <c r="O49" s="31">
        <f t="shared" si="12"/>
        <v>0</v>
      </c>
      <c r="Q49" s="107"/>
      <c r="S49" s="107"/>
      <c r="U49" s="107"/>
      <c r="W49" s="107"/>
    </row>
    <row r="50" spans="2:23" ht="25.5" x14ac:dyDescent="0.2">
      <c r="B50" s="56" t="s">
        <v>32</v>
      </c>
      <c r="C50" s="35"/>
      <c r="D50" s="35"/>
      <c r="E50" s="35"/>
      <c r="F50" s="67"/>
      <c r="G50" s="59"/>
      <c r="H50" s="60">
        <f>SUM(H47:H49)</f>
        <v>53.146474999999995</v>
      </c>
      <c r="I50" s="68"/>
      <c r="J50" s="69"/>
      <c r="K50" s="70"/>
      <c r="L50" s="60">
        <f>SUM(L47:L49)</f>
        <v>54.832460000000005</v>
      </c>
      <c r="M50" s="68"/>
      <c r="N50" s="43">
        <f t="shared" si="13"/>
        <v>1.6859850000000094</v>
      </c>
      <c r="O50" s="44">
        <f t="shared" si="12"/>
        <v>3.1723364531702422E-2</v>
      </c>
      <c r="Q50" s="102"/>
      <c r="S50" s="102"/>
      <c r="U50" s="102"/>
      <c r="W50" s="102"/>
    </row>
    <row r="51" spans="2:23" ht="25.5" x14ac:dyDescent="0.2">
      <c r="B51" s="71" t="s">
        <v>33</v>
      </c>
      <c r="C51" s="21"/>
      <c r="D51" s="22" t="s">
        <v>21</v>
      </c>
      <c r="E51" s="23"/>
      <c r="F51" s="72">
        <f>'Proposed Rates'!D186</f>
        <v>3.5999999999999999E-3</v>
      </c>
      <c r="G51" s="64">
        <f>G49</f>
        <v>1033.5</v>
      </c>
      <c r="H51" s="73">
        <f t="shared" ref="H51:H58" si="14">G51*F51</f>
        <v>3.7205999999999997</v>
      </c>
      <c r="I51" s="27"/>
      <c r="J51" s="72">
        <f>F51</f>
        <v>3.5999999999999999E-3</v>
      </c>
      <c r="K51" s="65">
        <f>K49</f>
        <v>1033.5</v>
      </c>
      <c r="L51" s="73">
        <f t="shared" ref="L51:L58" si="15">K51*J51</f>
        <v>3.7205999999999997</v>
      </c>
      <c r="M51" s="27"/>
      <c r="N51" s="30">
        <f t="shared" si="13"/>
        <v>0</v>
      </c>
      <c r="O51" s="74">
        <f t="shared" si="12"/>
        <v>0</v>
      </c>
      <c r="Q51" s="107"/>
      <c r="S51" s="107"/>
      <c r="U51" s="107"/>
      <c r="W51" s="107"/>
    </row>
    <row r="52" spans="2:23" ht="25.5" x14ac:dyDescent="0.2">
      <c r="B52" s="71" t="s">
        <v>34</v>
      </c>
      <c r="C52" s="21"/>
      <c r="D52" s="22" t="s">
        <v>21</v>
      </c>
      <c r="E52" s="23"/>
      <c r="F52" s="72">
        <f>'Proposed Rates'!D191</f>
        <v>1.2999999999999999E-3</v>
      </c>
      <c r="G52" s="64">
        <f>G49</f>
        <v>1033.5</v>
      </c>
      <c r="H52" s="73">
        <f t="shared" si="14"/>
        <v>1.34355</v>
      </c>
      <c r="I52" s="27"/>
      <c r="J52" s="72">
        <f>F52</f>
        <v>1.2999999999999999E-3</v>
      </c>
      <c r="K52" s="65">
        <f>K49</f>
        <v>1033.5</v>
      </c>
      <c r="L52" s="73">
        <f t="shared" si="15"/>
        <v>1.34355</v>
      </c>
      <c r="M52" s="27"/>
      <c r="N52" s="30">
        <f t="shared" si="13"/>
        <v>0</v>
      </c>
      <c r="O52" s="74">
        <f t="shared" si="12"/>
        <v>0</v>
      </c>
      <c r="Q52" s="107"/>
      <c r="S52" s="107"/>
      <c r="U52" s="107"/>
      <c r="W52" s="107"/>
    </row>
    <row r="53" spans="2:23" x14ac:dyDescent="0.2">
      <c r="B53" s="21" t="s">
        <v>35</v>
      </c>
      <c r="C53" s="21"/>
      <c r="D53" s="22" t="s">
        <v>18</v>
      </c>
      <c r="E53" s="23"/>
      <c r="F53" s="72">
        <f>'Proposed Rates'!D196</f>
        <v>0.25</v>
      </c>
      <c r="G53" s="25">
        <v>1</v>
      </c>
      <c r="H53" s="73">
        <f t="shared" si="14"/>
        <v>0.25</v>
      </c>
      <c r="I53" s="27"/>
      <c r="J53" s="72">
        <f>F53</f>
        <v>0.25</v>
      </c>
      <c r="K53" s="29">
        <v>1</v>
      </c>
      <c r="L53" s="73">
        <f t="shared" si="15"/>
        <v>0.25</v>
      </c>
      <c r="M53" s="27"/>
      <c r="N53" s="30">
        <f t="shared" si="13"/>
        <v>0</v>
      </c>
      <c r="O53" s="74">
        <f t="shared" si="12"/>
        <v>0</v>
      </c>
      <c r="Q53" s="107"/>
      <c r="S53" s="107"/>
      <c r="U53" s="107"/>
      <c r="W53" s="107"/>
    </row>
    <row r="54" spans="2:23" x14ac:dyDescent="0.2">
      <c r="B54" s="21" t="s">
        <v>122</v>
      </c>
      <c r="C54" s="21"/>
      <c r="D54" s="22"/>
      <c r="E54" s="23"/>
      <c r="F54" s="72">
        <f>'Proposed Rates'!D221</f>
        <v>1.1000000000000001E-3</v>
      </c>
      <c r="G54" s="75">
        <f>$F$18*(1+F71)</f>
        <v>1033.5</v>
      </c>
      <c r="H54" s="73">
        <f>G54*F54</f>
        <v>1.1368500000000001</v>
      </c>
      <c r="I54" s="27"/>
      <c r="J54" s="72">
        <f>F54</f>
        <v>1.1000000000000001E-3</v>
      </c>
      <c r="K54" s="75">
        <f>$F$18*(1+J71)</f>
        <v>1033.5</v>
      </c>
      <c r="L54" s="73">
        <f>K54*J54</f>
        <v>1.1368500000000001</v>
      </c>
      <c r="M54" s="27"/>
      <c r="N54" s="30"/>
      <c r="O54" s="74"/>
      <c r="Q54" s="107"/>
      <c r="S54" s="107"/>
      <c r="U54" s="107"/>
      <c r="W54" s="107"/>
    </row>
    <row r="55" spans="2:23" x14ac:dyDescent="0.2">
      <c r="B55" s="21" t="s">
        <v>36</v>
      </c>
      <c r="C55" s="21"/>
      <c r="D55" s="22"/>
      <c r="E55" s="23"/>
      <c r="F55" s="72">
        <f>'Proposed Rates'!D216</f>
        <v>6.94E-3</v>
      </c>
      <c r="G55" s="75">
        <f>$F$18</f>
        <v>1000</v>
      </c>
      <c r="H55" s="73">
        <f t="shared" si="14"/>
        <v>6.94</v>
      </c>
      <c r="I55" s="27"/>
      <c r="J55" s="72">
        <f>+F55</f>
        <v>6.94E-3</v>
      </c>
      <c r="K55" s="76">
        <f>$F$18</f>
        <v>1000</v>
      </c>
      <c r="L55" s="73">
        <f t="shared" si="15"/>
        <v>6.94</v>
      </c>
      <c r="M55" s="27"/>
      <c r="N55" s="30">
        <f t="shared" si="13"/>
        <v>0</v>
      </c>
      <c r="O55" s="74">
        <f t="shared" si="12"/>
        <v>0</v>
      </c>
      <c r="Q55" s="107"/>
      <c r="S55" s="107"/>
      <c r="U55" s="107"/>
      <c r="W55" s="107"/>
    </row>
    <row r="56" spans="2:23" x14ac:dyDescent="0.2">
      <c r="B56" s="49" t="s">
        <v>37</v>
      </c>
      <c r="C56" s="21"/>
      <c r="D56" s="22"/>
      <c r="E56" s="23"/>
      <c r="F56" s="72">
        <f>'Proposed Rates'!D226</f>
        <v>8.6999999999999994E-2</v>
      </c>
      <c r="G56" s="77">
        <f>0.65*$F$18</f>
        <v>650</v>
      </c>
      <c r="H56" s="73">
        <f t="shared" si="14"/>
        <v>56.55</v>
      </c>
      <c r="I56" s="27"/>
      <c r="J56" s="72">
        <f>F56</f>
        <v>8.6999999999999994E-2</v>
      </c>
      <c r="K56" s="77">
        <f>$G$56</f>
        <v>650</v>
      </c>
      <c r="L56" s="73">
        <f t="shared" si="15"/>
        <v>56.55</v>
      </c>
      <c r="M56" s="27"/>
      <c r="N56" s="30">
        <f t="shared" si="13"/>
        <v>0</v>
      </c>
      <c r="O56" s="74">
        <f t="shared" si="12"/>
        <v>0</v>
      </c>
      <c r="Q56" s="107"/>
      <c r="S56" s="107"/>
      <c r="U56" s="107"/>
      <c r="W56" s="107"/>
    </row>
    <row r="57" spans="2:23" x14ac:dyDescent="0.2">
      <c r="B57" s="49" t="s">
        <v>38</v>
      </c>
      <c r="C57" s="21"/>
      <c r="D57" s="22"/>
      <c r="E57" s="23"/>
      <c r="F57" s="72">
        <f>'Proposed Rates'!D227</f>
        <v>0.13200000000000001</v>
      </c>
      <c r="G57" s="77">
        <f>0.17*$F$18</f>
        <v>170</v>
      </c>
      <c r="H57" s="73">
        <f t="shared" si="14"/>
        <v>22.44</v>
      </c>
      <c r="I57" s="27"/>
      <c r="J57" s="72">
        <f>F57</f>
        <v>0.13200000000000001</v>
      </c>
      <c r="K57" s="77">
        <f>$G$57</f>
        <v>170</v>
      </c>
      <c r="L57" s="73">
        <f t="shared" si="15"/>
        <v>22.44</v>
      </c>
      <c r="M57" s="27"/>
      <c r="N57" s="30">
        <f t="shared" si="13"/>
        <v>0</v>
      </c>
      <c r="O57" s="74">
        <f t="shared" si="12"/>
        <v>0</v>
      </c>
      <c r="Q57" s="107"/>
      <c r="S57" s="107"/>
      <c r="U57" s="107"/>
      <c r="W57" s="107"/>
    </row>
    <row r="58" spans="2:23" x14ac:dyDescent="0.2">
      <c r="B58" s="11" t="s">
        <v>39</v>
      </c>
      <c r="C58" s="21"/>
      <c r="D58" s="22"/>
      <c r="E58" s="23"/>
      <c r="F58" s="72">
        <f>'Proposed Rates'!D228</f>
        <v>0.18</v>
      </c>
      <c r="G58" s="77">
        <f>0.18*$F$18</f>
        <v>180</v>
      </c>
      <c r="H58" s="73">
        <f t="shared" si="14"/>
        <v>32.4</v>
      </c>
      <c r="I58" s="27"/>
      <c r="J58" s="72">
        <f>F58</f>
        <v>0.18</v>
      </c>
      <c r="K58" s="77">
        <f>$G$58</f>
        <v>180</v>
      </c>
      <c r="L58" s="73">
        <f t="shared" si="15"/>
        <v>32.4</v>
      </c>
      <c r="M58" s="27"/>
      <c r="N58" s="30">
        <f t="shared" si="13"/>
        <v>0</v>
      </c>
      <c r="O58" s="74">
        <f t="shared" si="12"/>
        <v>0</v>
      </c>
      <c r="Q58" s="107"/>
      <c r="S58" s="107"/>
      <c r="U58" s="107"/>
      <c r="W58" s="107"/>
    </row>
    <row r="59" spans="2:23" s="85" customFormat="1" x14ac:dyDescent="0.2">
      <c r="B59" s="78" t="s">
        <v>40</v>
      </c>
      <c r="C59" s="79"/>
      <c r="D59" s="80"/>
      <c r="E59" s="81"/>
      <c r="F59" s="72">
        <f>'Proposed Rates'!D229</f>
        <v>0.10299999999999999</v>
      </c>
      <c r="G59" s="82">
        <v>750</v>
      </c>
      <c r="H59" s="73">
        <f>G59*F59</f>
        <v>77.25</v>
      </c>
      <c r="I59" s="83"/>
      <c r="J59" s="72">
        <f>F59</f>
        <v>0.10299999999999999</v>
      </c>
      <c r="K59" s="82">
        <f>$G$59</f>
        <v>750</v>
      </c>
      <c r="L59" s="73">
        <f>K59*J59</f>
        <v>77.25</v>
      </c>
      <c r="M59" s="83"/>
      <c r="N59" s="84">
        <f t="shared" si="13"/>
        <v>0</v>
      </c>
      <c r="O59" s="74">
        <f t="shared" si="12"/>
        <v>0</v>
      </c>
      <c r="Q59" s="143"/>
      <c r="R59" s="212"/>
      <c r="S59" s="143"/>
      <c r="T59" s="212"/>
      <c r="U59" s="143"/>
      <c r="V59" s="212"/>
      <c r="W59" s="143"/>
    </row>
    <row r="60" spans="2:23" s="85" customFormat="1" ht="13.5" thickBot="1" x14ac:dyDescent="0.25">
      <c r="B60" s="78" t="s">
        <v>41</v>
      </c>
      <c r="C60" s="79"/>
      <c r="D60" s="80"/>
      <c r="E60" s="81"/>
      <c r="F60" s="72">
        <f>'Proposed Rates'!D230</f>
        <v>0.121</v>
      </c>
      <c r="G60" s="82">
        <f>F18-G59</f>
        <v>250</v>
      </c>
      <c r="H60" s="73">
        <f>G60*F60</f>
        <v>30.25</v>
      </c>
      <c r="I60" s="83"/>
      <c r="J60" s="72">
        <f>F60</f>
        <v>0.121</v>
      </c>
      <c r="K60" s="82">
        <f>$G$60</f>
        <v>250</v>
      </c>
      <c r="L60" s="73">
        <f>K60*J60</f>
        <v>30.25</v>
      </c>
      <c r="M60" s="83"/>
      <c r="N60" s="84">
        <f t="shared" si="13"/>
        <v>0</v>
      </c>
      <c r="O60" s="74">
        <f t="shared" si="12"/>
        <v>0</v>
      </c>
      <c r="Q60" s="143"/>
      <c r="R60" s="212"/>
      <c r="S60" s="143"/>
      <c r="T60" s="212"/>
      <c r="U60" s="143"/>
      <c r="V60" s="212"/>
      <c r="W60" s="143"/>
    </row>
    <row r="61" spans="2:23" ht="8.25" customHeight="1" thickBot="1" x14ac:dyDescent="0.25">
      <c r="B61" s="86"/>
      <c r="C61" s="87"/>
      <c r="D61" s="88"/>
      <c r="E61" s="87"/>
      <c r="F61" s="89"/>
      <c r="G61" s="90"/>
      <c r="H61" s="91"/>
      <c r="I61" s="92"/>
      <c r="J61" s="89"/>
      <c r="K61" s="93"/>
      <c r="L61" s="91"/>
      <c r="M61" s="92"/>
      <c r="N61" s="94"/>
      <c r="O61" s="95"/>
      <c r="Q61" s="107"/>
      <c r="S61" s="107"/>
      <c r="U61" s="107"/>
      <c r="W61" s="107"/>
    </row>
    <row r="62" spans="2:23" x14ac:dyDescent="0.2">
      <c r="B62" s="96" t="s">
        <v>42</v>
      </c>
      <c r="C62" s="21"/>
      <c r="D62" s="21"/>
      <c r="E62" s="21"/>
      <c r="F62" s="97"/>
      <c r="G62" s="98"/>
      <c r="H62" s="99">
        <f>SUM(H51:H58,H50)</f>
        <v>177.92747500000002</v>
      </c>
      <c r="I62" s="100"/>
      <c r="J62" s="101"/>
      <c r="K62" s="101"/>
      <c r="L62" s="103">
        <f>SUM(L51:L58,L50)</f>
        <v>179.61346</v>
      </c>
      <c r="M62" s="102"/>
      <c r="N62" s="103">
        <f t="shared" ref="N62" si="16">L62-H62</f>
        <v>1.6859849999999881</v>
      </c>
      <c r="O62" s="104">
        <f t="shared" ref="O62" si="17">IF((H62)=0,"",(N62/H62))</f>
        <v>9.4756866526655766E-3</v>
      </c>
      <c r="Q62" s="102"/>
      <c r="S62" s="102"/>
      <c r="U62" s="102"/>
      <c r="W62" s="102"/>
    </row>
    <row r="63" spans="2:23" x14ac:dyDescent="0.2">
      <c r="B63" s="105" t="s">
        <v>43</v>
      </c>
      <c r="C63" s="21"/>
      <c r="D63" s="21"/>
      <c r="E63" s="21"/>
      <c r="F63" s="106">
        <v>0.13</v>
      </c>
      <c r="G63" s="107"/>
      <c r="H63" s="108">
        <f>H62*F63</f>
        <v>23.130571750000001</v>
      </c>
      <c r="I63" s="109"/>
      <c r="J63" s="110">
        <v>0.13</v>
      </c>
      <c r="K63" s="109"/>
      <c r="L63" s="111">
        <f>L62*J63</f>
        <v>23.349749800000001</v>
      </c>
      <c r="M63" s="112"/>
      <c r="N63" s="113">
        <f t="shared" si="13"/>
        <v>0.21917805000000001</v>
      </c>
      <c r="O63" s="114">
        <f t="shared" si="12"/>
        <v>9.4756866526656443E-3</v>
      </c>
      <c r="Q63" s="112"/>
      <c r="S63" s="112"/>
      <c r="U63" s="112"/>
      <c r="W63" s="112"/>
    </row>
    <row r="64" spans="2:23" ht="13.5" thickBot="1" x14ac:dyDescent="0.25">
      <c r="B64" s="115" t="s">
        <v>44</v>
      </c>
      <c r="C64" s="21"/>
      <c r="D64" s="21"/>
      <c r="E64" s="21"/>
      <c r="F64" s="116"/>
      <c r="G64" s="107"/>
      <c r="H64" s="99">
        <f>H62+H63</f>
        <v>201.05804675000002</v>
      </c>
      <c r="I64" s="109"/>
      <c r="J64" s="109"/>
      <c r="K64" s="109"/>
      <c r="L64" s="220">
        <f>L62+L63</f>
        <v>202.96320980000002</v>
      </c>
      <c r="M64" s="112"/>
      <c r="N64" s="103">
        <f t="shared" si="13"/>
        <v>1.9051630499999987</v>
      </c>
      <c r="O64" s="104">
        <f t="shared" si="12"/>
        <v>9.4756866526656373E-3</v>
      </c>
      <c r="Q64" s="112"/>
      <c r="S64" s="112"/>
      <c r="U64" s="112"/>
      <c r="W64" s="112"/>
    </row>
    <row r="65" spans="1:23" s="85" customFormat="1" ht="8.25" customHeight="1" thickBot="1" x14ac:dyDescent="0.25">
      <c r="B65" s="117"/>
      <c r="C65" s="118"/>
      <c r="D65" s="119"/>
      <c r="E65" s="118"/>
      <c r="F65" s="89"/>
      <c r="G65" s="120"/>
      <c r="H65" s="91"/>
      <c r="I65" s="121"/>
      <c r="J65" s="89"/>
      <c r="K65" s="122"/>
      <c r="L65" s="91"/>
      <c r="M65" s="121"/>
      <c r="N65" s="123"/>
      <c r="O65" s="95"/>
      <c r="Q65" s="143"/>
      <c r="R65" s="212"/>
      <c r="S65" s="143"/>
      <c r="T65" s="212"/>
      <c r="U65" s="143"/>
      <c r="V65" s="212"/>
      <c r="W65" s="143"/>
    </row>
    <row r="66" spans="1:23" s="85" customFormat="1" x14ac:dyDescent="0.2">
      <c r="B66" s="124" t="s">
        <v>45</v>
      </c>
      <c r="C66" s="79"/>
      <c r="D66" s="79"/>
      <c r="E66" s="79"/>
      <c r="F66" s="125"/>
      <c r="G66" s="126"/>
      <c r="H66" s="127">
        <f>SUM(H59:H60,H50,H51:H55)</f>
        <v>174.037475</v>
      </c>
      <c r="I66" s="128"/>
      <c r="J66" s="129"/>
      <c r="K66" s="129"/>
      <c r="L66" s="131">
        <f>SUM(L59:L60,L50,L51:L55)</f>
        <v>175.72345999999999</v>
      </c>
      <c r="M66" s="130"/>
      <c r="N66" s="131">
        <f t="shared" ref="N66:N68" si="18">L66-H66</f>
        <v>1.6859849999999881</v>
      </c>
      <c r="O66" s="104">
        <f t="shared" ref="O66:O68" si="19">IF((H66)=0,"",(N66/H66))</f>
        <v>9.6874825378843732E-3</v>
      </c>
      <c r="Q66" s="130"/>
      <c r="R66" s="212"/>
      <c r="S66" s="130"/>
      <c r="T66" s="212"/>
      <c r="U66" s="130"/>
      <c r="V66" s="212"/>
      <c r="W66" s="130"/>
    </row>
    <row r="67" spans="1:23" s="85" customFormat="1" x14ac:dyDescent="0.2">
      <c r="B67" s="132" t="s">
        <v>43</v>
      </c>
      <c r="C67" s="79"/>
      <c r="D67" s="79"/>
      <c r="E67" s="79"/>
      <c r="F67" s="133">
        <v>0.13</v>
      </c>
      <c r="G67" s="126"/>
      <c r="H67" s="134">
        <f>H66*F67</f>
        <v>22.624871750000001</v>
      </c>
      <c r="I67" s="135"/>
      <c r="J67" s="136">
        <v>0.13</v>
      </c>
      <c r="K67" s="137"/>
      <c r="L67" s="140">
        <f>L66*J67</f>
        <v>22.844049800000001</v>
      </c>
      <c r="M67" s="139"/>
      <c r="N67" s="140">
        <f t="shared" si="18"/>
        <v>0.21917805000000001</v>
      </c>
      <c r="O67" s="114">
        <f t="shared" si="19"/>
        <v>9.6874825378844408E-3</v>
      </c>
      <c r="Q67" s="139"/>
      <c r="R67" s="212"/>
      <c r="S67" s="139"/>
      <c r="T67" s="212"/>
      <c r="U67" s="139"/>
      <c r="V67" s="212"/>
      <c r="W67" s="139"/>
    </row>
    <row r="68" spans="1:23" s="85" customFormat="1" ht="13.5" thickBot="1" x14ac:dyDescent="0.25">
      <c r="B68" s="141" t="s">
        <v>44</v>
      </c>
      <c r="C68" s="79"/>
      <c r="D68" s="79"/>
      <c r="E68" s="79"/>
      <c r="F68" s="142"/>
      <c r="G68" s="143"/>
      <c r="H68" s="127">
        <f>H66+H67</f>
        <v>196.66234675000001</v>
      </c>
      <c r="I68" s="135"/>
      <c r="J68" s="135"/>
      <c r="K68" s="135"/>
      <c r="L68" s="219">
        <f>L66+L67</f>
        <v>198.56750979999998</v>
      </c>
      <c r="M68" s="139"/>
      <c r="N68" s="131">
        <f t="shared" si="18"/>
        <v>1.9051630499999703</v>
      </c>
      <c r="O68" s="104">
        <f t="shared" si="19"/>
        <v>9.6874825378842899E-3</v>
      </c>
      <c r="Q68" s="139"/>
      <c r="R68" s="212"/>
      <c r="S68" s="139"/>
      <c r="T68" s="212"/>
      <c r="U68" s="139"/>
      <c r="V68" s="212"/>
      <c r="W68" s="139"/>
    </row>
    <row r="69" spans="1:23" s="85" customFormat="1" ht="8.25" customHeight="1" thickBot="1" x14ac:dyDescent="0.25">
      <c r="B69" s="117"/>
      <c r="C69" s="118"/>
      <c r="D69" s="119"/>
      <c r="E69" s="118"/>
      <c r="F69" s="144"/>
      <c r="G69" s="145"/>
      <c r="H69" s="146"/>
      <c r="I69" s="147"/>
      <c r="J69" s="144"/>
      <c r="K69" s="120"/>
      <c r="L69" s="148"/>
      <c r="M69" s="121"/>
      <c r="N69" s="149"/>
      <c r="O69" s="95"/>
      <c r="Q69" s="143"/>
      <c r="R69" s="212"/>
      <c r="S69" s="143"/>
      <c r="T69" s="212"/>
      <c r="U69" s="143"/>
      <c r="V69" s="212"/>
      <c r="W69" s="143"/>
    </row>
    <row r="70" spans="1:23" x14ac:dyDescent="0.2">
      <c r="L70" s="150"/>
    </row>
    <row r="71" spans="1:23" x14ac:dyDescent="0.2">
      <c r="B71" s="12" t="s">
        <v>46</v>
      </c>
      <c r="F71" s="151">
        <f>'Proposed Rates'!D202</f>
        <v>3.3500000000000002E-2</v>
      </c>
      <c r="J71" s="151">
        <f>+'Res (100)'!J70</f>
        <v>3.3500000000000002E-2</v>
      </c>
    </row>
    <row r="73" spans="1:23" ht="13.5" customHeight="1" x14ac:dyDescent="0.2">
      <c r="Q73" s="210"/>
      <c r="R73" s="210"/>
      <c r="S73" s="6"/>
      <c r="T73" s="6"/>
      <c r="U73" s="6"/>
      <c r="V73" s="6"/>
      <c r="W73" s="6"/>
    </row>
    <row r="74" spans="1:23" ht="12" customHeight="1" x14ac:dyDescent="0.2">
      <c r="A74" s="6" t="s">
        <v>47</v>
      </c>
      <c r="Q74" s="210"/>
      <c r="R74" s="210"/>
      <c r="S74" s="6"/>
      <c r="T74" s="6"/>
      <c r="U74" s="6"/>
      <c r="V74" s="6"/>
      <c r="W74" s="6"/>
    </row>
    <row r="75" spans="1:23" x14ac:dyDescent="0.2">
      <c r="A75" s="6" t="s">
        <v>48</v>
      </c>
      <c r="Q75" s="210"/>
      <c r="R75" s="210"/>
      <c r="S75" s="6"/>
      <c r="T75" s="6"/>
      <c r="U75" s="6"/>
      <c r="V75" s="6"/>
      <c r="W75" s="6"/>
    </row>
    <row r="76" spans="1:23" x14ac:dyDescent="0.2">
      <c r="Q76" s="210"/>
      <c r="R76" s="210"/>
      <c r="S76" s="6"/>
      <c r="T76" s="6"/>
      <c r="U76" s="6"/>
      <c r="V76" s="6"/>
      <c r="W76" s="6"/>
    </row>
    <row r="77" spans="1:23" x14ac:dyDescent="0.2">
      <c r="A77" s="153" t="s">
        <v>136</v>
      </c>
      <c r="Q77" s="210"/>
      <c r="R77" s="210"/>
      <c r="S77" s="6"/>
      <c r="T77" s="6"/>
      <c r="U77" s="6"/>
      <c r="V77" s="6"/>
      <c r="W77" s="6"/>
    </row>
    <row r="78" spans="1:23" x14ac:dyDescent="0.2">
      <c r="A78" s="11" t="s">
        <v>49</v>
      </c>
      <c r="Q78" s="210"/>
      <c r="R78" s="210"/>
      <c r="S78" s="6"/>
      <c r="T78" s="6"/>
      <c r="U78" s="6"/>
      <c r="V78" s="6"/>
      <c r="W78" s="6"/>
    </row>
    <row r="79" spans="1:23" x14ac:dyDescent="0.2">
      <c r="Q79" s="210"/>
      <c r="R79" s="210"/>
      <c r="S79" s="6"/>
      <c r="T79" s="6"/>
      <c r="U79" s="6"/>
      <c r="V79" s="6"/>
      <c r="W79" s="6"/>
    </row>
    <row r="80" spans="1:23" x14ac:dyDescent="0.2">
      <c r="A80" s="6" t="s">
        <v>135</v>
      </c>
      <c r="Q80" s="210"/>
      <c r="R80" s="210"/>
      <c r="S80" s="6"/>
      <c r="T80" s="6"/>
      <c r="U80" s="6"/>
      <c r="V80" s="6"/>
      <c r="W80" s="6"/>
    </row>
    <row r="81" spans="1:23" x14ac:dyDescent="0.2">
      <c r="A81" s="6" t="s">
        <v>50</v>
      </c>
      <c r="Q81" s="210"/>
      <c r="R81" s="210"/>
      <c r="S81" s="6"/>
      <c r="T81" s="6"/>
      <c r="U81" s="6"/>
      <c r="V81" s="6"/>
      <c r="W81" s="6"/>
    </row>
    <row r="82" spans="1:23" x14ac:dyDescent="0.2">
      <c r="A82" s="6" t="s">
        <v>51</v>
      </c>
      <c r="Q82" s="210"/>
      <c r="R82" s="210"/>
      <c r="S82" s="6"/>
      <c r="T82" s="6"/>
      <c r="U82" s="6"/>
      <c r="V82" s="6"/>
      <c r="W82" s="6"/>
    </row>
    <row r="83" spans="1:23" x14ac:dyDescent="0.2">
      <c r="A83" s="6" t="s">
        <v>52</v>
      </c>
      <c r="Q83" s="210"/>
      <c r="R83" s="210"/>
      <c r="S83" s="6"/>
      <c r="T83" s="6"/>
      <c r="U83" s="6"/>
      <c r="V83" s="6"/>
      <c r="W83" s="6"/>
    </row>
    <row r="84" spans="1:23" x14ac:dyDescent="0.2">
      <c r="A84" s="6" t="s">
        <v>53</v>
      </c>
      <c r="Q84" s="210"/>
      <c r="R84" s="210"/>
      <c r="S84" s="6"/>
      <c r="T84" s="6"/>
      <c r="U84" s="6"/>
      <c r="V84" s="6"/>
      <c r="W84" s="6"/>
    </row>
    <row r="85" spans="1:23" x14ac:dyDescent="0.2">
      <c r="Q85" s="210"/>
      <c r="R85" s="210"/>
      <c r="S85" s="6"/>
      <c r="T85" s="6"/>
      <c r="U85" s="6"/>
      <c r="V85" s="6"/>
      <c r="W85" s="6"/>
    </row>
    <row r="86" spans="1:23" x14ac:dyDescent="0.2">
      <c r="A86" s="152"/>
      <c r="B86" s="6" t="s">
        <v>54</v>
      </c>
      <c r="Q86" s="210"/>
      <c r="R86" s="210"/>
      <c r="S86" s="6"/>
      <c r="T86" s="6"/>
      <c r="U86" s="6"/>
      <c r="V86" s="6"/>
      <c r="W86" s="6"/>
    </row>
    <row r="87" spans="1:23" x14ac:dyDescent="0.2">
      <c r="Q87" s="210"/>
      <c r="R87" s="210"/>
      <c r="S87" s="6"/>
      <c r="T87" s="6"/>
      <c r="U87" s="6"/>
      <c r="V87" s="6"/>
      <c r="W87" s="6"/>
    </row>
    <row r="88" spans="1:23" x14ac:dyDescent="0.2">
      <c r="B88" s="153" t="s">
        <v>55</v>
      </c>
      <c r="Q88" s="210"/>
      <c r="R88" s="210"/>
      <c r="S88" s="6"/>
      <c r="T88" s="6"/>
      <c r="U88" s="6"/>
      <c r="V88" s="6"/>
      <c r="W88"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69 D65 D23:D38 D51:D61 D48:D49 D40:D46">
      <formula1>"Monthly, per kWh, per kW"</formula1>
    </dataValidation>
    <dataValidation type="list" allowBlank="1" showInputMessage="1" showErrorMessage="1" sqref="E48:E49 E69 E65 E51:E61 E23:E38 E40:E46">
      <formula1>#REF!</formula1>
    </dataValidation>
  </dataValidations>
  <pageMargins left="0.74803149606299213" right="0.74803149606299213" top="0.98425196850393704" bottom="0.98425196850393704" header="0.51181102362204722" footer="0.51181102362204722"/>
  <pageSetup scale="60" orientation="portrait" r:id="rId1"/>
  <headerFooter scaleWithDoc="0" alignWithMargins="0"/>
  <colBreaks count="2" manualBreakCount="2">
    <brk id="15" max="71" man="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6</xdr:col>
                    <xdr:colOff>476250</xdr:colOff>
                    <xdr:row>16</xdr:row>
                    <xdr:rowOff>190500</xdr:rowOff>
                  </from>
                  <to>
                    <xdr:col>9</xdr:col>
                    <xdr:colOff>476250</xdr:colOff>
                    <xdr:row>18</xdr:row>
                    <xdr:rowOff>47625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9</xdr:col>
                    <xdr:colOff>361950</xdr:colOff>
                    <xdr:row>16</xdr:row>
                    <xdr:rowOff>133350</xdr:rowOff>
                  </from>
                  <to>
                    <xdr:col>16</xdr:col>
                    <xdr:colOff>9525</xdr:colOff>
                    <xdr:row>18</xdr:row>
                    <xdr:rowOff>152400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W92"/>
  <sheetViews>
    <sheetView showGridLines="0" view="pageBreakPreview" zoomScale="70" zoomScaleNormal="85" zoomScaleSheetLayoutView="70" workbookViewId="0">
      <selection activeCell="O41" sqref="O4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9.85546875" style="6" bestFit="1" customWidth="1"/>
    <col min="8" max="8" width="12.7109375" style="6" bestFit="1" customWidth="1"/>
    <col min="9" max="9" width="2.85546875" style="6" customWidth="1"/>
    <col min="10" max="10" width="11.5703125" style="6" bestFit="1" customWidth="1"/>
    <col min="11" max="11" width="9.85546875" style="6" bestFit="1" customWidth="1"/>
    <col min="12" max="12" width="13" style="6" bestFit="1" customWidth="1"/>
    <col min="13" max="13" width="2.85546875" style="6" customWidth="1"/>
    <col min="14" max="14" width="11.85546875" style="6" bestFit="1"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7109375" style="211" bestFit="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45"/>
      <c r="O8" s="16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56</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2000</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+'SC (1000)'!F23</f>
        <v>17.23</v>
      </c>
      <c r="G23" s="25">
        <v>1</v>
      </c>
      <c r="H23" s="26">
        <f>G23*F23</f>
        <v>17.23</v>
      </c>
      <c r="I23" s="27"/>
      <c r="J23" s="24">
        <f>+'SC (1000)'!J23</f>
        <v>17.89</v>
      </c>
      <c r="K23" s="29">
        <v>1</v>
      </c>
      <c r="L23" s="26">
        <f>K23*J23</f>
        <v>17.89</v>
      </c>
      <c r="M23" s="27"/>
      <c r="N23" s="30">
        <f>L23-H23</f>
        <v>0.66000000000000014</v>
      </c>
      <c r="O23" s="31">
        <f>IF((H23)=0,"",(N23/H23))</f>
        <v>3.8305281485780621E-2</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+'SC (1000)'!F29</f>
        <v>2.1600000000000001E-2</v>
      </c>
      <c r="G29" s="25">
        <f>$F$18</f>
        <v>2000</v>
      </c>
      <c r="H29" s="26">
        <f t="shared" si="0"/>
        <v>43.2</v>
      </c>
      <c r="I29" s="27"/>
      <c r="J29" s="24">
        <f>+'SC (1000)'!J29</f>
        <v>2.2700000000000001E-2</v>
      </c>
      <c r="K29" s="25">
        <f>$F$18</f>
        <v>2000</v>
      </c>
      <c r="L29" s="26">
        <f t="shared" si="1"/>
        <v>45.400000000000006</v>
      </c>
      <c r="M29" s="27"/>
      <c r="N29" s="30">
        <f t="shared" si="2"/>
        <v>2.2000000000000028</v>
      </c>
      <c r="O29" s="31">
        <f t="shared" si="3"/>
        <v>5.0925925925925986E-2</v>
      </c>
      <c r="Q29" s="107"/>
      <c r="S29" s="107"/>
      <c r="U29" s="107"/>
      <c r="W29" s="107"/>
    </row>
    <row r="30" spans="2:23" x14ac:dyDescent="0.2">
      <c r="B30" s="21" t="s">
        <v>22</v>
      </c>
      <c r="C30" s="21"/>
      <c r="D30" s="22"/>
      <c r="E30" s="23"/>
      <c r="F30" s="24"/>
      <c r="G30" s="25">
        <f t="shared" ref="G30" si="4">$F$18</f>
        <v>2000</v>
      </c>
      <c r="H30" s="26">
        <f t="shared" si="0"/>
        <v>0</v>
      </c>
      <c r="I30" s="27"/>
      <c r="J30" s="24"/>
      <c r="K30" s="25">
        <f t="shared" ref="K30:K38" si="5">$F$18</f>
        <v>2000</v>
      </c>
      <c r="L30" s="26">
        <f t="shared" si="1"/>
        <v>0</v>
      </c>
      <c r="M30" s="27"/>
      <c r="N30" s="30">
        <f t="shared" si="2"/>
        <v>0</v>
      </c>
      <c r="O30" s="31" t="str">
        <f t="shared" si="3"/>
        <v/>
      </c>
      <c r="Q30" s="107"/>
      <c r="S30" s="107"/>
      <c r="U30" s="107"/>
      <c r="W30" s="107"/>
    </row>
    <row r="31" spans="2:23" x14ac:dyDescent="0.2">
      <c r="B31" s="21" t="s">
        <v>23</v>
      </c>
      <c r="C31" s="21"/>
      <c r="D31" s="22" t="s">
        <v>21</v>
      </c>
      <c r="E31" s="23"/>
      <c r="F31" s="50">
        <f>+'SC (1000)'!F31</f>
        <v>2.3000000000000001E-4</v>
      </c>
      <c r="G31" s="25">
        <f>$F$18</f>
        <v>2000</v>
      </c>
      <c r="H31" s="26">
        <f t="shared" si="0"/>
        <v>0.46</v>
      </c>
      <c r="I31" s="27"/>
      <c r="J31" s="50">
        <f>+'SC (1000)'!J31</f>
        <v>0</v>
      </c>
      <c r="K31" s="25">
        <f t="shared" si="5"/>
        <v>2000</v>
      </c>
      <c r="L31" s="26">
        <f t="shared" si="1"/>
        <v>0</v>
      </c>
      <c r="M31" s="27"/>
      <c r="N31" s="30">
        <f t="shared" si="2"/>
        <v>-0.46</v>
      </c>
      <c r="O31" s="31">
        <f t="shared" si="3"/>
        <v>-1</v>
      </c>
      <c r="Q31" s="107"/>
      <c r="S31" s="107"/>
      <c r="U31" s="107"/>
      <c r="W31" s="107"/>
    </row>
    <row r="32" spans="2:23" x14ac:dyDescent="0.2">
      <c r="B32" s="33"/>
      <c r="C32" s="21"/>
      <c r="D32" s="22"/>
      <c r="E32" s="23"/>
      <c r="F32" s="24"/>
      <c r="G32" s="25">
        <f t="shared" ref="G32:G38" si="6">$F$18</f>
        <v>2000</v>
      </c>
      <c r="H32" s="26">
        <f t="shared" si="0"/>
        <v>0</v>
      </c>
      <c r="I32" s="27"/>
      <c r="J32" s="28"/>
      <c r="K32" s="25">
        <f t="shared" si="5"/>
        <v>2000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2000</v>
      </c>
      <c r="H33" s="26">
        <f t="shared" si="0"/>
        <v>0</v>
      </c>
      <c r="I33" s="27"/>
      <c r="J33" s="28"/>
      <c r="K33" s="25">
        <f t="shared" si="5"/>
        <v>2000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2000</v>
      </c>
      <c r="H34" s="26">
        <f t="shared" si="0"/>
        <v>0</v>
      </c>
      <c r="I34" s="27"/>
      <c r="J34" s="28"/>
      <c r="K34" s="25">
        <f t="shared" si="5"/>
        <v>2000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2000</v>
      </c>
      <c r="H35" s="26">
        <f t="shared" si="0"/>
        <v>0</v>
      </c>
      <c r="I35" s="27"/>
      <c r="J35" s="28"/>
      <c r="K35" s="25">
        <f t="shared" si="5"/>
        <v>2000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2000</v>
      </c>
      <c r="H36" s="26">
        <f t="shared" si="0"/>
        <v>0</v>
      </c>
      <c r="I36" s="27"/>
      <c r="J36" s="28"/>
      <c r="K36" s="25">
        <f t="shared" si="5"/>
        <v>2000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2000</v>
      </c>
      <c r="H37" s="26">
        <f t="shared" si="0"/>
        <v>0</v>
      </c>
      <c r="I37" s="27"/>
      <c r="J37" s="28"/>
      <c r="K37" s="25">
        <f t="shared" si="5"/>
        <v>2000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2000</v>
      </c>
      <c r="H38" s="26">
        <f t="shared" si="0"/>
        <v>0</v>
      </c>
      <c r="I38" s="27"/>
      <c r="J38" s="28"/>
      <c r="K38" s="25">
        <f t="shared" si="5"/>
        <v>2000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60.890000000000008</v>
      </c>
      <c r="I39" s="40"/>
      <c r="J39" s="41"/>
      <c r="K39" s="42"/>
      <c r="L39" s="39">
        <f>SUM(L23:L38)</f>
        <v>63.290000000000006</v>
      </c>
      <c r="M39" s="40"/>
      <c r="N39" s="43">
        <f t="shared" si="2"/>
        <v>2.3999999999999986</v>
      </c>
      <c r="O39" s="44">
        <f t="shared" si="3"/>
        <v>3.9415339136147122E-2</v>
      </c>
      <c r="Q39" s="107"/>
      <c r="R39" s="211"/>
      <c r="S39" s="107"/>
      <c r="T39" s="211"/>
      <c r="U39" s="107"/>
      <c r="V39" s="211"/>
      <c r="W39" s="107"/>
    </row>
    <row r="40" spans="2:23" ht="38.25" x14ac:dyDescent="0.2">
      <c r="B40" s="46" t="str">
        <f>+'Res (100)'!B40</f>
        <v>Deferral/Variance Account Disposition Rate Rider Group 1</v>
      </c>
      <c r="C40" s="21"/>
      <c r="D40" s="22" t="s">
        <v>21</v>
      </c>
      <c r="E40" s="23"/>
      <c r="F40" s="50">
        <f>'Proposed Rates'!D39</f>
        <v>-8.4000000000000003E-4</v>
      </c>
      <c r="G40" s="25">
        <f>$F$18</f>
        <v>2000</v>
      </c>
      <c r="H40" s="26">
        <f>G40*F40</f>
        <v>-1.6800000000000002</v>
      </c>
      <c r="I40" s="27"/>
      <c r="J40" s="50">
        <f>+'SC (1000)'!J40</f>
        <v>0</v>
      </c>
      <c r="K40" s="25">
        <f>$F$18</f>
        <v>2000</v>
      </c>
      <c r="L40" s="26">
        <f>K40*J40</f>
        <v>0</v>
      </c>
      <c r="M40" s="27"/>
      <c r="N40" s="30">
        <f>L40-H40</f>
        <v>1.6800000000000002</v>
      </c>
      <c r="O40" s="31">
        <f>IF((H40)=0,"",(N40/H40))</f>
        <v>-1</v>
      </c>
      <c r="Q40" s="107"/>
      <c r="S40" s="107"/>
      <c r="U40" s="107"/>
      <c r="W40" s="107"/>
    </row>
    <row r="41" spans="2:23" ht="38.25" x14ac:dyDescent="0.2">
      <c r="B41" s="46" t="str">
        <f>+'Res (100)'!B41</f>
        <v>Deferral/Variance Account Disposition Rate Rider Group 2</v>
      </c>
      <c r="C41" s="21"/>
      <c r="D41" s="22" t="s">
        <v>21</v>
      </c>
      <c r="E41" s="23"/>
      <c r="F41" s="50">
        <f>'Proposed Rates'!D53</f>
        <v>6.9999999999999994E-5</v>
      </c>
      <c r="G41" s="25">
        <f t="shared" ref="G41:G43" si="7">$F$18</f>
        <v>2000</v>
      </c>
      <c r="H41" s="26">
        <f t="shared" ref="H41:H45" si="8">G41*F41</f>
        <v>0.13999999999999999</v>
      </c>
      <c r="I41" s="47"/>
      <c r="J41" s="50">
        <f>+'SC (1000)'!J41</f>
        <v>0</v>
      </c>
      <c r="K41" s="25">
        <f t="shared" ref="K41:K43" si="9">$F$18</f>
        <v>2000</v>
      </c>
      <c r="L41" s="26">
        <f t="shared" ref="L41:L45" si="10">K41*J41</f>
        <v>0</v>
      </c>
      <c r="M41" s="48"/>
      <c r="N41" s="30">
        <f t="shared" ref="N41:N45" si="11">L41-H41</f>
        <v>-0.13999999999999999</v>
      </c>
      <c r="O41" s="31">
        <f t="shared" ref="O41:O64" si="12">IF((H41)=0,"",(N41/H41))</f>
        <v>-1</v>
      </c>
      <c r="Q41" s="107"/>
      <c r="S41" s="107"/>
      <c r="U41" s="107"/>
      <c r="W41" s="107"/>
    </row>
    <row r="42" spans="2:23" ht="38.25" x14ac:dyDescent="0.2">
      <c r="B42" s="46" t="str">
        <f>+'Res (100)'!B42</f>
        <v>Deferral / Variance Accounts Balances (excluding Global Adj.) - NON-WMP</v>
      </c>
      <c r="C42" s="21"/>
      <c r="D42" s="22" t="s">
        <v>21</v>
      </c>
      <c r="E42" s="23"/>
      <c r="F42" s="24">
        <f>'Proposed Rates'!D98</f>
        <v>-1.5089999999999999E-3</v>
      </c>
      <c r="G42" s="25">
        <f t="shared" si="7"/>
        <v>2000</v>
      </c>
      <c r="H42" s="26">
        <f t="shared" si="8"/>
        <v>-3.0179999999999998</v>
      </c>
      <c r="I42" s="47"/>
      <c r="J42" s="28">
        <f>+'SC (1000)'!J42</f>
        <v>-2.3E-3</v>
      </c>
      <c r="K42" s="25">
        <f t="shared" si="9"/>
        <v>2000</v>
      </c>
      <c r="L42" s="26">
        <f t="shared" si="10"/>
        <v>-4.5999999999999996</v>
      </c>
      <c r="M42" s="48"/>
      <c r="N42" s="30">
        <f t="shared" si="11"/>
        <v>-1.5819999999999999</v>
      </c>
      <c r="O42" s="31">
        <f t="shared" si="12"/>
        <v>0.52418820410868128</v>
      </c>
      <c r="Q42" s="107"/>
      <c r="S42" s="107"/>
      <c r="U42" s="107"/>
      <c r="W42" s="107"/>
    </row>
    <row r="43" spans="2:23" ht="38.25" x14ac:dyDescent="0.2">
      <c r="B43" s="46" t="s">
        <v>128</v>
      </c>
      <c r="C43" s="21"/>
      <c r="D43" s="22" t="s">
        <v>21</v>
      </c>
      <c r="E43" s="23"/>
      <c r="F43" s="24">
        <f>+'SC (1000)'!F43</f>
        <v>0</v>
      </c>
      <c r="G43" s="25">
        <f t="shared" si="7"/>
        <v>2000</v>
      </c>
      <c r="H43" s="26">
        <f t="shared" si="8"/>
        <v>0</v>
      </c>
      <c r="I43" s="47"/>
      <c r="J43" s="233">
        <f>+'SC (1000)'!J43</f>
        <v>2.7E-4</v>
      </c>
      <c r="K43" s="25">
        <f t="shared" si="9"/>
        <v>2000</v>
      </c>
      <c r="L43" s="26">
        <f t="shared" si="10"/>
        <v>0.54</v>
      </c>
      <c r="M43" s="48"/>
      <c r="N43" s="30">
        <f t="shared" si="11"/>
        <v>0.54</v>
      </c>
      <c r="O43" s="31" t="str">
        <f t="shared" si="12"/>
        <v/>
      </c>
      <c r="Q43" s="107"/>
      <c r="S43" s="107"/>
      <c r="U43" s="107"/>
      <c r="W43" s="107"/>
    </row>
    <row r="44" spans="2:23" x14ac:dyDescent="0.2">
      <c r="B44" s="49" t="s">
        <v>26</v>
      </c>
      <c r="C44" s="21"/>
      <c r="D44" s="22" t="s">
        <v>21</v>
      </c>
      <c r="E44" s="23"/>
      <c r="F44" s="50">
        <f>'SC (1000)'!F44</f>
        <v>6.0000000000000002E-5</v>
      </c>
      <c r="G44" s="51">
        <f>$F$18*(1+F71)</f>
        <v>2067</v>
      </c>
      <c r="H44" s="26">
        <f>G44*F44</f>
        <v>0.12402000000000001</v>
      </c>
      <c r="I44" s="27"/>
      <c r="J44" s="52">
        <f>'SC (1000)'!J44</f>
        <v>6.9999999999999994E-5</v>
      </c>
      <c r="K44" s="51">
        <f>$F$18*(1+J71)</f>
        <v>2067</v>
      </c>
      <c r="L44" s="26">
        <f>K44*J44</f>
        <v>0.14468999999999999</v>
      </c>
      <c r="M44" s="27"/>
      <c r="N44" s="30">
        <f>L44-H44</f>
        <v>2.066999999999998E-2</v>
      </c>
      <c r="O44" s="31">
        <f>IF((H44)=0,"",(N44/H44))</f>
        <v>0.16666666666666649</v>
      </c>
      <c r="Q44" s="107"/>
      <c r="S44" s="107"/>
      <c r="U44" s="107"/>
      <c r="W44" s="107"/>
    </row>
    <row r="45" spans="2:23" x14ac:dyDescent="0.2">
      <c r="B45" s="49" t="s">
        <v>27</v>
      </c>
      <c r="C45" s="21"/>
      <c r="D45" s="22"/>
      <c r="E45" s="23"/>
      <c r="F45" s="53">
        <f>IF(ISBLANK(D16)=TRUE, 0, IF(D16="TOU", 0.65*$F$56+0.17*$F$57+0.18*$F$58, IF(AND(D16="non-TOU", G60&gt;0), F60,F59)))</f>
        <v>0.11139</v>
      </c>
      <c r="G45" s="54">
        <f>$F$18*(1+$F$71)-$F$18</f>
        <v>67</v>
      </c>
      <c r="H45" s="26">
        <f t="shared" si="8"/>
        <v>7.4631300000000005</v>
      </c>
      <c r="I45" s="27"/>
      <c r="J45" s="55">
        <f>0.65*$J$56+0.17*$J$57+0.18*$J$58</f>
        <v>0.11139</v>
      </c>
      <c r="K45" s="54">
        <f>$F$18*(1+$J$71)-$F$18</f>
        <v>67</v>
      </c>
      <c r="L45" s="26">
        <f t="shared" si="10"/>
        <v>7.4631300000000005</v>
      </c>
      <c r="M45" s="27"/>
      <c r="N45" s="30">
        <f t="shared" si="11"/>
        <v>0</v>
      </c>
      <c r="O45" s="31">
        <f t="shared" si="12"/>
        <v>0</v>
      </c>
      <c r="Q45" s="107"/>
      <c r="S45" s="107"/>
      <c r="U45" s="107"/>
      <c r="W45" s="107"/>
    </row>
    <row r="46" spans="2:23" x14ac:dyDescent="0.2">
      <c r="B46" s="49" t="s">
        <v>28</v>
      </c>
      <c r="C46" s="21"/>
      <c r="D46" s="22" t="s">
        <v>18</v>
      </c>
      <c r="E46" s="23"/>
      <c r="F46" s="53">
        <f>'SC (1000)'!F46</f>
        <v>0.79</v>
      </c>
      <c r="G46" s="25">
        <v>1</v>
      </c>
      <c r="H46" s="26">
        <f>G46*F46</f>
        <v>0.79</v>
      </c>
      <c r="I46" s="27"/>
      <c r="J46" s="53">
        <f>'SC (1000)'!J46</f>
        <v>0.79</v>
      </c>
      <c r="K46" s="25">
        <v>1</v>
      </c>
      <c r="L46" s="26">
        <f>K46*J46</f>
        <v>0.79</v>
      </c>
      <c r="M46" s="27"/>
      <c r="N46" s="30">
        <f>L46-H46</f>
        <v>0</v>
      </c>
      <c r="O46" s="31">
        <f t="shared" si="12"/>
        <v>0</v>
      </c>
      <c r="Q46" s="107"/>
      <c r="S46" s="107"/>
      <c r="U46" s="107"/>
      <c r="W46" s="107"/>
    </row>
    <row r="47" spans="2:23" ht="25.5" x14ac:dyDescent="0.2">
      <c r="B47" s="56" t="s">
        <v>29</v>
      </c>
      <c r="C47" s="57"/>
      <c r="D47" s="57"/>
      <c r="E47" s="57"/>
      <c r="F47" s="58"/>
      <c r="G47" s="59"/>
      <c r="H47" s="60">
        <f>SUM(H40:H46)+H39</f>
        <v>64.709150000000008</v>
      </c>
      <c r="I47" s="40"/>
      <c r="J47" s="59"/>
      <c r="K47" s="61"/>
      <c r="L47" s="60">
        <f>SUM(L40:L46)+L39</f>
        <v>67.627820000000014</v>
      </c>
      <c r="M47" s="40"/>
      <c r="N47" s="43">
        <f t="shared" ref="N47:N64" si="13">L47-H47</f>
        <v>2.9186700000000059</v>
      </c>
      <c r="O47" s="44">
        <f t="shared" si="12"/>
        <v>4.5104440407577683E-2</v>
      </c>
      <c r="Q47" s="107"/>
      <c r="S47" s="107"/>
      <c r="U47" s="107"/>
      <c r="W47" s="107"/>
    </row>
    <row r="48" spans="2:23" x14ac:dyDescent="0.2">
      <c r="B48" s="27" t="s">
        <v>30</v>
      </c>
      <c r="C48" s="27"/>
      <c r="D48" s="62" t="s">
        <v>21</v>
      </c>
      <c r="E48" s="63"/>
      <c r="F48" s="28">
        <f>'SC (1000)'!F48</f>
        <v>6.8999999999999999E-3</v>
      </c>
      <c r="G48" s="64">
        <f>F18*(1+F71)</f>
        <v>2067</v>
      </c>
      <c r="H48" s="26">
        <f>G48*F48</f>
        <v>14.2623</v>
      </c>
      <c r="I48" s="27"/>
      <c r="J48" s="28">
        <f>'SC (1000)'!J48</f>
        <v>6.7999999999999996E-3</v>
      </c>
      <c r="K48" s="65">
        <f>F18*(1+J71)</f>
        <v>2067</v>
      </c>
      <c r="L48" s="26">
        <f>K48*J48</f>
        <v>14.0556</v>
      </c>
      <c r="M48" s="27"/>
      <c r="N48" s="30">
        <f t="shared" si="13"/>
        <v>-0.20669999999999966</v>
      </c>
      <c r="O48" s="31">
        <f t="shared" si="12"/>
        <v>-1.4492753623188382E-2</v>
      </c>
      <c r="Q48" s="107"/>
      <c r="S48" s="107"/>
      <c r="U48" s="107"/>
      <c r="W48" s="107"/>
    </row>
    <row r="49" spans="2:23" ht="25.5" x14ac:dyDescent="0.2">
      <c r="B49" s="66" t="s">
        <v>31</v>
      </c>
      <c r="C49" s="27"/>
      <c r="D49" s="62" t="s">
        <v>21</v>
      </c>
      <c r="E49" s="63"/>
      <c r="F49" s="28">
        <f>'SC (1000)'!F49</f>
        <v>4.4999999999999997E-3</v>
      </c>
      <c r="G49" s="64">
        <f>G48</f>
        <v>2067</v>
      </c>
      <c r="H49" s="26">
        <f>G49*F49</f>
        <v>9.301499999999999</v>
      </c>
      <c r="I49" s="27"/>
      <c r="J49" s="28">
        <f>'SC (1000)'!J49</f>
        <v>4.4999999999999997E-3</v>
      </c>
      <c r="K49" s="65">
        <f>K48</f>
        <v>2067</v>
      </c>
      <c r="L49" s="26">
        <f>K49*J49</f>
        <v>9.301499999999999</v>
      </c>
      <c r="M49" s="27"/>
      <c r="N49" s="30">
        <f t="shared" si="13"/>
        <v>0</v>
      </c>
      <c r="O49" s="31">
        <f t="shared" si="12"/>
        <v>0</v>
      </c>
      <c r="Q49" s="107"/>
      <c r="S49" s="107"/>
      <c r="U49" s="107"/>
      <c r="W49" s="107"/>
    </row>
    <row r="50" spans="2:23" ht="25.5" x14ac:dyDescent="0.2">
      <c r="B50" s="56" t="s">
        <v>32</v>
      </c>
      <c r="C50" s="35"/>
      <c r="D50" s="35"/>
      <c r="E50" s="35"/>
      <c r="F50" s="67"/>
      <c r="G50" s="59"/>
      <c r="H50" s="60">
        <f>SUM(H47:H49)</f>
        <v>88.272950000000009</v>
      </c>
      <c r="I50" s="68"/>
      <c r="J50" s="69"/>
      <c r="K50" s="70"/>
      <c r="L50" s="60">
        <f>SUM(L47:L49)</f>
        <v>90.984920000000017</v>
      </c>
      <c r="M50" s="68"/>
      <c r="N50" s="43">
        <f t="shared" si="13"/>
        <v>2.711970000000008</v>
      </c>
      <c r="O50" s="44">
        <f t="shared" si="12"/>
        <v>3.0722548640325351E-2</v>
      </c>
      <c r="Q50" s="102"/>
      <c r="S50" s="102"/>
      <c r="U50" s="102"/>
      <c r="W50" s="102"/>
    </row>
    <row r="51" spans="2:23" ht="25.5" x14ac:dyDescent="0.2">
      <c r="B51" s="71" t="s">
        <v>33</v>
      </c>
      <c r="C51" s="21"/>
      <c r="D51" s="22" t="s">
        <v>21</v>
      </c>
      <c r="E51" s="23"/>
      <c r="F51" s="72">
        <f>'SC (1000)'!F51</f>
        <v>3.5999999999999999E-3</v>
      </c>
      <c r="G51" s="64">
        <f>G49</f>
        <v>2067</v>
      </c>
      <c r="H51" s="73">
        <f t="shared" ref="H51:H58" si="14">G51*F51</f>
        <v>7.4411999999999994</v>
      </c>
      <c r="I51" s="27"/>
      <c r="J51" s="72">
        <f>F51</f>
        <v>3.5999999999999999E-3</v>
      </c>
      <c r="K51" s="65">
        <f>K49</f>
        <v>2067</v>
      </c>
      <c r="L51" s="73">
        <f t="shared" ref="L51:L58" si="15">K51*J51</f>
        <v>7.4411999999999994</v>
      </c>
      <c r="M51" s="27"/>
      <c r="N51" s="30">
        <f t="shared" si="13"/>
        <v>0</v>
      </c>
      <c r="O51" s="74">
        <f t="shared" si="12"/>
        <v>0</v>
      </c>
      <c r="Q51" s="107"/>
      <c r="S51" s="107"/>
      <c r="U51" s="107"/>
      <c r="W51" s="107"/>
    </row>
    <row r="52" spans="2:23" ht="25.5" x14ac:dyDescent="0.2">
      <c r="B52" s="71" t="s">
        <v>34</v>
      </c>
      <c r="C52" s="21"/>
      <c r="D52" s="22" t="s">
        <v>21</v>
      </c>
      <c r="E52" s="23"/>
      <c r="F52" s="72">
        <f>'SC (1000)'!F52</f>
        <v>1.2999999999999999E-3</v>
      </c>
      <c r="G52" s="64">
        <f>G49</f>
        <v>2067</v>
      </c>
      <c r="H52" s="73">
        <f t="shared" si="14"/>
        <v>2.6871</v>
      </c>
      <c r="I52" s="27"/>
      <c r="J52" s="72">
        <f>F52</f>
        <v>1.2999999999999999E-3</v>
      </c>
      <c r="K52" s="65">
        <f>K49</f>
        <v>2067</v>
      </c>
      <c r="L52" s="73">
        <f t="shared" si="15"/>
        <v>2.6871</v>
      </c>
      <c r="M52" s="27"/>
      <c r="N52" s="30">
        <f t="shared" si="13"/>
        <v>0</v>
      </c>
      <c r="O52" s="74">
        <f t="shared" si="12"/>
        <v>0</v>
      </c>
      <c r="Q52" s="107"/>
      <c r="S52" s="107"/>
      <c r="U52" s="107"/>
      <c r="W52" s="107"/>
    </row>
    <row r="53" spans="2:23" x14ac:dyDescent="0.2">
      <c r="B53" s="21" t="s">
        <v>35</v>
      </c>
      <c r="C53" s="21"/>
      <c r="D53" s="22" t="s">
        <v>18</v>
      </c>
      <c r="E53" s="23"/>
      <c r="F53" s="72">
        <f>'SC (1000)'!F53</f>
        <v>0.25</v>
      </c>
      <c r="G53" s="25">
        <v>1</v>
      </c>
      <c r="H53" s="73">
        <f t="shared" si="14"/>
        <v>0.25</v>
      </c>
      <c r="I53" s="27"/>
      <c r="J53" s="72">
        <f>F53</f>
        <v>0.25</v>
      </c>
      <c r="K53" s="29">
        <v>1</v>
      </c>
      <c r="L53" s="73">
        <f t="shared" si="15"/>
        <v>0.25</v>
      </c>
      <c r="M53" s="27"/>
      <c r="N53" s="30">
        <f t="shared" si="13"/>
        <v>0</v>
      </c>
      <c r="O53" s="74">
        <f t="shared" si="12"/>
        <v>0</v>
      </c>
      <c r="Q53" s="107"/>
      <c r="S53" s="107"/>
      <c r="U53" s="107"/>
      <c r="W53" s="107"/>
    </row>
    <row r="54" spans="2:23" x14ac:dyDescent="0.2">
      <c r="B54" s="21" t="s">
        <v>122</v>
      </c>
      <c r="C54" s="21"/>
      <c r="D54" s="22"/>
      <c r="E54" s="23"/>
      <c r="F54" s="72">
        <f>'Proposed Rates'!D221</f>
        <v>1.1000000000000001E-3</v>
      </c>
      <c r="G54" s="75">
        <f>$F$18*(1+F71)</f>
        <v>2067</v>
      </c>
      <c r="H54" s="73">
        <f>G54*F54</f>
        <v>2.2737000000000003</v>
      </c>
      <c r="I54" s="27"/>
      <c r="J54" s="72">
        <f>F54</f>
        <v>1.1000000000000001E-3</v>
      </c>
      <c r="K54" s="75">
        <f>$F$18*(1+J71)</f>
        <v>2067</v>
      </c>
      <c r="L54" s="73">
        <f>K54*J54</f>
        <v>2.2737000000000003</v>
      </c>
      <c r="M54" s="27"/>
      <c r="N54" s="30"/>
      <c r="O54" s="74"/>
      <c r="Q54" s="107"/>
      <c r="S54" s="107"/>
      <c r="U54" s="107"/>
      <c r="W54" s="107"/>
    </row>
    <row r="55" spans="2:23" x14ac:dyDescent="0.2">
      <c r="B55" s="21" t="s">
        <v>36</v>
      </c>
      <c r="C55" s="21"/>
      <c r="D55" s="22"/>
      <c r="E55" s="23"/>
      <c r="F55" s="72">
        <f>'SC (1000)'!F55</f>
        <v>6.94E-3</v>
      </c>
      <c r="G55" s="75">
        <f>$F$18</f>
        <v>2000</v>
      </c>
      <c r="H55" s="73">
        <f t="shared" si="14"/>
        <v>13.88</v>
      </c>
      <c r="I55" s="27"/>
      <c r="J55" s="72">
        <f>+F55</f>
        <v>6.94E-3</v>
      </c>
      <c r="K55" s="76">
        <f>$F$18</f>
        <v>2000</v>
      </c>
      <c r="L55" s="73">
        <f t="shared" si="15"/>
        <v>13.88</v>
      </c>
      <c r="M55" s="27"/>
      <c r="N55" s="30">
        <f t="shared" si="13"/>
        <v>0</v>
      </c>
      <c r="O55" s="74">
        <f t="shared" si="12"/>
        <v>0</v>
      </c>
      <c r="Q55" s="107"/>
      <c r="S55" s="107"/>
      <c r="U55" s="107"/>
      <c r="W55" s="107"/>
    </row>
    <row r="56" spans="2:23" x14ac:dyDescent="0.2">
      <c r="B56" s="49" t="s">
        <v>37</v>
      </c>
      <c r="C56" s="21"/>
      <c r="D56" s="22"/>
      <c r="E56" s="23"/>
      <c r="F56" s="72">
        <f>'SC (1000)'!F56</f>
        <v>8.6999999999999994E-2</v>
      </c>
      <c r="G56" s="77">
        <f>0.65*$F$18</f>
        <v>1300</v>
      </c>
      <c r="H56" s="73">
        <f t="shared" si="14"/>
        <v>113.1</v>
      </c>
      <c r="I56" s="27"/>
      <c r="J56" s="72">
        <f>F56</f>
        <v>8.6999999999999994E-2</v>
      </c>
      <c r="K56" s="77">
        <f>$G$56</f>
        <v>1300</v>
      </c>
      <c r="L56" s="73">
        <f t="shared" si="15"/>
        <v>113.1</v>
      </c>
      <c r="M56" s="27"/>
      <c r="N56" s="30">
        <f t="shared" si="13"/>
        <v>0</v>
      </c>
      <c r="O56" s="74">
        <f t="shared" si="12"/>
        <v>0</v>
      </c>
      <c r="Q56" s="107"/>
      <c r="S56" s="107"/>
      <c r="U56" s="107"/>
      <c r="W56" s="107"/>
    </row>
    <row r="57" spans="2:23" x14ac:dyDescent="0.2">
      <c r="B57" s="49" t="s">
        <v>38</v>
      </c>
      <c r="C57" s="21"/>
      <c r="D57" s="22"/>
      <c r="E57" s="23"/>
      <c r="F57" s="72">
        <f>'SC (1000)'!F57</f>
        <v>0.13200000000000001</v>
      </c>
      <c r="G57" s="77">
        <f>0.17*$F$18</f>
        <v>340</v>
      </c>
      <c r="H57" s="73">
        <f t="shared" si="14"/>
        <v>44.88</v>
      </c>
      <c r="I57" s="27"/>
      <c r="J57" s="72">
        <f>F57</f>
        <v>0.13200000000000001</v>
      </c>
      <c r="K57" s="77">
        <f>$G$57</f>
        <v>340</v>
      </c>
      <c r="L57" s="73">
        <f t="shared" si="15"/>
        <v>44.88</v>
      </c>
      <c r="M57" s="27"/>
      <c r="N57" s="30">
        <f t="shared" si="13"/>
        <v>0</v>
      </c>
      <c r="O57" s="74">
        <f t="shared" si="12"/>
        <v>0</v>
      </c>
      <c r="Q57" s="107"/>
      <c r="S57" s="107"/>
      <c r="U57" s="107"/>
      <c r="W57" s="107"/>
    </row>
    <row r="58" spans="2:23" x14ac:dyDescent="0.2">
      <c r="B58" s="11" t="s">
        <v>39</v>
      </c>
      <c r="C58" s="21"/>
      <c r="D58" s="22"/>
      <c r="E58" s="23"/>
      <c r="F58" s="72">
        <f>'SC (1000)'!F58</f>
        <v>0.18</v>
      </c>
      <c r="G58" s="77">
        <f>0.18*$F$18</f>
        <v>360</v>
      </c>
      <c r="H58" s="73">
        <f t="shared" si="14"/>
        <v>64.8</v>
      </c>
      <c r="I58" s="27"/>
      <c r="J58" s="72">
        <f>F58</f>
        <v>0.18</v>
      </c>
      <c r="K58" s="77">
        <f>$G$58</f>
        <v>360</v>
      </c>
      <c r="L58" s="73">
        <f t="shared" si="15"/>
        <v>64.8</v>
      </c>
      <c r="M58" s="27"/>
      <c r="N58" s="30">
        <f t="shared" si="13"/>
        <v>0</v>
      </c>
      <c r="O58" s="74">
        <f t="shared" si="12"/>
        <v>0</v>
      </c>
      <c r="Q58" s="107"/>
      <c r="S58" s="107"/>
      <c r="U58" s="107"/>
      <c r="W58" s="107"/>
    </row>
    <row r="59" spans="2:23" s="85" customFormat="1" x14ac:dyDescent="0.2">
      <c r="B59" s="78" t="s">
        <v>40</v>
      </c>
      <c r="C59" s="79"/>
      <c r="D59" s="80"/>
      <c r="E59" s="81"/>
      <c r="F59" s="72">
        <f>'SC (1000)'!F59</f>
        <v>0.10299999999999999</v>
      </c>
      <c r="G59" s="82">
        <v>750</v>
      </c>
      <c r="H59" s="73">
        <f>G59*F59</f>
        <v>77.25</v>
      </c>
      <c r="I59" s="83"/>
      <c r="J59" s="72">
        <f>F59</f>
        <v>0.10299999999999999</v>
      </c>
      <c r="K59" s="82">
        <f>$G$59</f>
        <v>750</v>
      </c>
      <c r="L59" s="73">
        <f>K59*J59</f>
        <v>77.25</v>
      </c>
      <c r="M59" s="83"/>
      <c r="N59" s="84">
        <f t="shared" si="13"/>
        <v>0</v>
      </c>
      <c r="O59" s="74">
        <f t="shared" si="12"/>
        <v>0</v>
      </c>
      <c r="Q59" s="143"/>
      <c r="R59" s="212"/>
      <c r="S59" s="143"/>
      <c r="T59" s="212"/>
      <c r="U59" s="143"/>
      <c r="V59" s="212"/>
      <c r="W59" s="143"/>
    </row>
    <row r="60" spans="2:23" s="85" customFormat="1" ht="13.5" thickBot="1" x14ac:dyDescent="0.25">
      <c r="B60" s="78" t="s">
        <v>41</v>
      </c>
      <c r="C60" s="79"/>
      <c r="D60" s="80"/>
      <c r="E60" s="81"/>
      <c r="F60" s="72">
        <f>'SC (1000)'!F60</f>
        <v>0.121</v>
      </c>
      <c r="G60" s="82">
        <f>F18-G59</f>
        <v>1250</v>
      </c>
      <c r="H60" s="73">
        <f>G60*F60</f>
        <v>151.25</v>
      </c>
      <c r="I60" s="83"/>
      <c r="J60" s="72">
        <f>F60</f>
        <v>0.121</v>
      </c>
      <c r="K60" s="82">
        <f>$G$60</f>
        <v>1250</v>
      </c>
      <c r="L60" s="73">
        <f>K60*J60</f>
        <v>151.25</v>
      </c>
      <c r="M60" s="83"/>
      <c r="N60" s="84">
        <f t="shared" si="13"/>
        <v>0</v>
      </c>
      <c r="O60" s="74">
        <f t="shared" si="12"/>
        <v>0</v>
      </c>
      <c r="Q60" s="143"/>
      <c r="R60" s="212"/>
      <c r="S60" s="143"/>
      <c r="T60" s="212"/>
      <c r="U60" s="143"/>
      <c r="V60" s="212"/>
      <c r="W60" s="143"/>
    </row>
    <row r="61" spans="2:23" ht="8.25" customHeight="1" thickBot="1" x14ac:dyDescent="0.25">
      <c r="B61" s="86"/>
      <c r="C61" s="87"/>
      <c r="D61" s="88"/>
      <c r="E61" s="87"/>
      <c r="F61" s="89"/>
      <c r="G61" s="90"/>
      <c r="H61" s="91"/>
      <c r="I61" s="92"/>
      <c r="J61" s="89"/>
      <c r="K61" s="93"/>
      <c r="L61" s="91"/>
      <c r="M61" s="92"/>
      <c r="N61" s="94"/>
      <c r="O61" s="95"/>
      <c r="Q61" s="107"/>
      <c r="S61" s="107"/>
      <c r="U61" s="107"/>
      <c r="W61" s="107"/>
    </row>
    <row r="62" spans="2:23" x14ac:dyDescent="0.2">
      <c r="B62" s="96" t="s">
        <v>42</v>
      </c>
      <c r="C62" s="21"/>
      <c r="D62" s="21"/>
      <c r="E62" s="21"/>
      <c r="F62" s="97"/>
      <c r="G62" s="98"/>
      <c r="H62" s="99">
        <f>SUM(H51:H58,H50)</f>
        <v>337.58495000000005</v>
      </c>
      <c r="I62" s="100"/>
      <c r="J62" s="101"/>
      <c r="K62" s="101"/>
      <c r="L62" s="103">
        <f>SUM(L51:L58,L50)</f>
        <v>340.29692</v>
      </c>
      <c r="M62" s="102"/>
      <c r="N62" s="103">
        <f t="shared" ref="N62" si="16">L62-H62</f>
        <v>2.7119699999999511</v>
      </c>
      <c r="O62" s="104">
        <f t="shared" ref="O62" si="17">IF((H62)=0,"",(N62/H62))</f>
        <v>8.0334446189024439E-3</v>
      </c>
      <c r="Q62" s="102"/>
      <c r="S62" s="102"/>
      <c r="U62" s="102"/>
      <c r="W62" s="102"/>
    </row>
    <row r="63" spans="2:23" x14ac:dyDescent="0.2">
      <c r="B63" s="105" t="s">
        <v>43</v>
      </c>
      <c r="C63" s="21"/>
      <c r="D63" s="21"/>
      <c r="E63" s="21"/>
      <c r="F63" s="106">
        <v>0.13</v>
      </c>
      <c r="G63" s="107"/>
      <c r="H63" s="108">
        <f>H62*F63</f>
        <v>43.886043500000007</v>
      </c>
      <c r="I63" s="109"/>
      <c r="J63" s="110">
        <v>0.13</v>
      </c>
      <c r="K63" s="109"/>
      <c r="L63" s="111">
        <f>L62*J63</f>
        <v>44.238599600000001</v>
      </c>
      <c r="M63" s="112"/>
      <c r="N63" s="113">
        <f t="shared" si="13"/>
        <v>0.35255609999999393</v>
      </c>
      <c r="O63" s="114">
        <f t="shared" si="12"/>
        <v>8.0334446189024508E-3</v>
      </c>
      <c r="Q63" s="112"/>
      <c r="S63" s="112"/>
      <c r="U63" s="112"/>
      <c r="W63" s="112"/>
    </row>
    <row r="64" spans="2:23" ht="13.5" thickBot="1" x14ac:dyDescent="0.25">
      <c r="B64" s="115" t="s">
        <v>44</v>
      </c>
      <c r="C64" s="21"/>
      <c r="D64" s="21"/>
      <c r="E64" s="21"/>
      <c r="F64" s="116"/>
      <c r="G64" s="107"/>
      <c r="H64" s="99">
        <f>H62+H63</f>
        <v>381.47099350000008</v>
      </c>
      <c r="I64" s="109"/>
      <c r="J64" s="109"/>
      <c r="K64" s="109"/>
      <c r="L64" s="220">
        <f>L62+L63</f>
        <v>384.53551959999999</v>
      </c>
      <c r="M64" s="112"/>
      <c r="N64" s="103">
        <f t="shared" si="13"/>
        <v>3.0645260999999095</v>
      </c>
      <c r="O64" s="104">
        <f t="shared" si="12"/>
        <v>8.0334446189023519E-3</v>
      </c>
      <c r="Q64" s="112"/>
      <c r="S64" s="112"/>
      <c r="U64" s="112"/>
      <c r="W64" s="112"/>
    </row>
    <row r="65" spans="1:23" s="85" customFormat="1" ht="8.25" customHeight="1" thickBot="1" x14ac:dyDescent="0.25">
      <c r="B65" s="117"/>
      <c r="C65" s="118"/>
      <c r="D65" s="119"/>
      <c r="E65" s="118"/>
      <c r="F65" s="89"/>
      <c r="G65" s="120"/>
      <c r="H65" s="91"/>
      <c r="I65" s="121"/>
      <c r="J65" s="89"/>
      <c r="K65" s="122"/>
      <c r="L65" s="91"/>
      <c r="M65" s="121"/>
      <c r="N65" s="123"/>
      <c r="O65" s="95"/>
      <c r="Q65" s="143"/>
      <c r="R65" s="212"/>
      <c r="S65" s="143"/>
      <c r="T65" s="212"/>
      <c r="U65" s="143"/>
      <c r="V65" s="212"/>
      <c r="W65" s="143"/>
    </row>
    <row r="66" spans="1:23" s="85" customFormat="1" x14ac:dyDescent="0.2">
      <c r="B66" s="124" t="s">
        <v>45</v>
      </c>
      <c r="C66" s="79"/>
      <c r="D66" s="79"/>
      <c r="E66" s="79"/>
      <c r="F66" s="125"/>
      <c r="G66" s="126"/>
      <c r="H66" s="127">
        <f>SUM(H59:H60,H50,H51:H55)</f>
        <v>343.30495000000002</v>
      </c>
      <c r="I66" s="128"/>
      <c r="J66" s="129"/>
      <c r="K66" s="129"/>
      <c r="L66" s="131">
        <f>SUM(L59:L60,L50,L51:L55)</f>
        <v>346.01691999999997</v>
      </c>
      <c r="M66" s="130"/>
      <c r="N66" s="131">
        <f t="shared" ref="N66:N68" si="18">L66-H66</f>
        <v>2.7119699999999511</v>
      </c>
      <c r="O66" s="104">
        <f t="shared" ref="O66:O68" si="19">IF((H66)=0,"",(N66/H66))</f>
        <v>7.8995948063083597E-3</v>
      </c>
      <c r="Q66" s="130"/>
      <c r="R66" s="212"/>
      <c r="S66" s="130"/>
      <c r="T66" s="212"/>
      <c r="U66" s="130"/>
      <c r="V66" s="212"/>
      <c r="W66" s="130"/>
    </row>
    <row r="67" spans="1:23" s="85" customFormat="1" x14ac:dyDescent="0.2">
      <c r="B67" s="132" t="s">
        <v>43</v>
      </c>
      <c r="C67" s="79"/>
      <c r="D67" s="79"/>
      <c r="E67" s="79"/>
      <c r="F67" s="133">
        <v>0.13</v>
      </c>
      <c r="G67" s="126"/>
      <c r="H67" s="134">
        <f>H66*F67</f>
        <v>44.629643500000007</v>
      </c>
      <c r="I67" s="135"/>
      <c r="J67" s="136">
        <v>0.13</v>
      </c>
      <c r="K67" s="137"/>
      <c r="L67" s="140">
        <f>L66*J67</f>
        <v>44.982199599999994</v>
      </c>
      <c r="M67" s="139"/>
      <c r="N67" s="140">
        <f t="shared" si="18"/>
        <v>0.35255609999998683</v>
      </c>
      <c r="O67" s="114">
        <f t="shared" si="19"/>
        <v>7.8995948063082053E-3</v>
      </c>
      <c r="Q67" s="139"/>
      <c r="R67" s="212"/>
      <c r="S67" s="139"/>
      <c r="T67" s="212"/>
      <c r="U67" s="139"/>
      <c r="V67" s="212"/>
      <c r="W67" s="139"/>
    </row>
    <row r="68" spans="1:23" s="85" customFormat="1" ht="13.5" thickBot="1" x14ac:dyDescent="0.25">
      <c r="B68" s="141" t="s">
        <v>44</v>
      </c>
      <c r="C68" s="79"/>
      <c r="D68" s="79"/>
      <c r="E68" s="79"/>
      <c r="F68" s="142"/>
      <c r="G68" s="143"/>
      <c r="H68" s="127">
        <f>H66+H67</f>
        <v>387.93459350000001</v>
      </c>
      <c r="I68" s="135"/>
      <c r="J68" s="135"/>
      <c r="K68" s="135"/>
      <c r="L68" s="219">
        <f>L66+L67</f>
        <v>390.99911959999997</v>
      </c>
      <c r="M68" s="139"/>
      <c r="N68" s="131">
        <f t="shared" si="18"/>
        <v>3.0645260999999664</v>
      </c>
      <c r="O68" s="104">
        <f t="shared" si="19"/>
        <v>7.8995948063084152E-3</v>
      </c>
      <c r="Q68" s="139"/>
      <c r="R68" s="212"/>
      <c r="S68" s="139"/>
      <c r="T68" s="212"/>
      <c r="U68" s="139"/>
      <c r="V68" s="212"/>
      <c r="W68" s="139"/>
    </row>
    <row r="69" spans="1:23" s="85" customFormat="1" ht="8.25" customHeight="1" thickBot="1" x14ac:dyDescent="0.25">
      <c r="B69" s="117"/>
      <c r="C69" s="118"/>
      <c r="D69" s="119"/>
      <c r="E69" s="118"/>
      <c r="F69" s="144"/>
      <c r="G69" s="145"/>
      <c r="H69" s="146"/>
      <c r="I69" s="147"/>
      <c r="J69" s="144"/>
      <c r="K69" s="120"/>
      <c r="L69" s="148"/>
      <c r="M69" s="121"/>
      <c r="N69" s="149"/>
      <c r="O69" s="95"/>
      <c r="Q69" s="143"/>
      <c r="R69" s="212"/>
      <c r="S69" s="143"/>
      <c r="T69" s="212"/>
      <c r="U69" s="143"/>
      <c r="V69" s="212"/>
      <c r="W69" s="143"/>
    </row>
    <row r="70" spans="1:23" x14ac:dyDescent="0.2">
      <c r="L70" s="150"/>
    </row>
    <row r="71" spans="1:23" x14ac:dyDescent="0.2">
      <c r="B71" s="12" t="s">
        <v>46</v>
      </c>
      <c r="F71" s="151">
        <f>'SC (1000)'!F71</f>
        <v>3.3500000000000002E-2</v>
      </c>
      <c r="J71" s="151">
        <f>+'Res (100)'!J70</f>
        <v>3.3500000000000002E-2</v>
      </c>
    </row>
    <row r="72" spans="1:23" ht="13.5" thickBot="1" x14ac:dyDescent="0.25"/>
    <row r="73" spans="1:23" ht="8.25" customHeight="1" thickBot="1" x14ac:dyDescent="0.25">
      <c r="B73" s="86"/>
      <c r="C73" s="87"/>
      <c r="D73" s="88"/>
      <c r="E73" s="87"/>
      <c r="F73" s="89"/>
      <c r="G73" s="90"/>
      <c r="H73" s="91"/>
      <c r="I73" s="92"/>
      <c r="J73" s="89"/>
      <c r="K73" s="93"/>
      <c r="L73" s="91"/>
      <c r="M73" s="92"/>
      <c r="N73" s="94"/>
      <c r="O73" s="95"/>
      <c r="Q73" s="107"/>
      <c r="S73" s="107"/>
      <c r="U73" s="107"/>
      <c r="W73" s="107"/>
    </row>
    <row r="74" spans="1:23" x14ac:dyDescent="0.2">
      <c r="B74" s="96" t="s">
        <v>42</v>
      </c>
      <c r="C74" s="21"/>
      <c r="D74" s="21"/>
      <c r="E74" s="21"/>
      <c r="F74" s="97"/>
      <c r="G74" s="98"/>
      <c r="H74" s="99">
        <f>+H62-H31-H40-H41-H42</f>
        <v>341.68295000000006</v>
      </c>
      <c r="I74" s="100"/>
      <c r="J74" s="101"/>
      <c r="K74" s="101"/>
      <c r="L74" s="99">
        <f>+L62-L31-L40-L41-L42</f>
        <v>344.89692000000002</v>
      </c>
      <c r="M74" s="102"/>
      <c r="N74" s="103">
        <f t="shared" ref="N74:N76" si="20">L74-H74</f>
        <v>3.2139699999999607</v>
      </c>
      <c r="O74" s="104">
        <f t="shared" ref="O74:O76" si="21">IF((H74)=0,"",(N74/H74))</f>
        <v>9.406293173247187E-3</v>
      </c>
      <c r="Q74" s="102"/>
      <c r="S74" s="102"/>
      <c r="U74" s="102"/>
      <c r="W74" s="102"/>
    </row>
    <row r="75" spans="1:23" x14ac:dyDescent="0.2">
      <c r="B75" s="105" t="s">
        <v>43</v>
      </c>
      <c r="C75" s="21"/>
      <c r="D75" s="21"/>
      <c r="E75" s="21"/>
      <c r="F75" s="106">
        <v>0.13</v>
      </c>
      <c r="G75" s="107"/>
      <c r="H75" s="108">
        <f>H74*F75</f>
        <v>44.418783500000011</v>
      </c>
      <c r="I75" s="109"/>
      <c r="J75" s="110">
        <v>0.13</v>
      </c>
      <c r="K75" s="109"/>
      <c r="L75" s="111">
        <f>L74*J75</f>
        <v>44.836599600000007</v>
      </c>
      <c r="M75" s="112"/>
      <c r="N75" s="113">
        <f t="shared" si="20"/>
        <v>0.41781609999999603</v>
      </c>
      <c r="O75" s="114">
        <f t="shared" si="21"/>
        <v>9.406293173247213E-3</v>
      </c>
      <c r="Q75" s="112"/>
      <c r="S75" s="112"/>
      <c r="U75" s="112"/>
      <c r="W75" s="112"/>
    </row>
    <row r="76" spans="1:23" x14ac:dyDescent="0.2">
      <c r="B76" s="115" t="s">
        <v>44</v>
      </c>
      <c r="C76" s="21"/>
      <c r="D76" s="21"/>
      <c r="E76" s="21"/>
      <c r="F76" s="213"/>
      <c r="G76" s="214"/>
      <c r="H76" s="225">
        <f>H74+H75</f>
        <v>386.10173350000008</v>
      </c>
      <c r="I76" s="215"/>
      <c r="J76" s="215"/>
      <c r="K76" s="215"/>
      <c r="L76" s="224">
        <f>L74+L75</f>
        <v>389.73351960000002</v>
      </c>
      <c r="M76" s="216"/>
      <c r="N76" s="223">
        <f t="shared" si="20"/>
        <v>3.6317860999999425</v>
      </c>
      <c r="O76" s="222">
        <f t="shared" si="21"/>
        <v>9.4062931732471541E-3</v>
      </c>
      <c r="Q76" s="112"/>
      <c r="S76" s="112"/>
      <c r="U76" s="112"/>
      <c r="W76" s="112"/>
    </row>
    <row r="77" spans="1:23" ht="13.5" customHeight="1" x14ac:dyDescent="0.2">
      <c r="Q77" s="210"/>
      <c r="R77" s="210"/>
      <c r="S77" s="6"/>
      <c r="T77" s="6"/>
      <c r="U77" s="6"/>
      <c r="V77" s="6"/>
      <c r="W77" s="6"/>
    </row>
    <row r="78" spans="1:23" ht="12" customHeight="1" x14ac:dyDescent="0.2">
      <c r="A78" s="6" t="s">
        <v>47</v>
      </c>
      <c r="Q78" s="210"/>
      <c r="R78" s="210"/>
      <c r="S78" s="6"/>
      <c r="T78" s="6"/>
      <c r="U78" s="6"/>
      <c r="V78" s="6"/>
      <c r="W78" s="6"/>
    </row>
    <row r="79" spans="1:23" x14ac:dyDescent="0.2">
      <c r="A79" s="6" t="s">
        <v>48</v>
      </c>
      <c r="Q79" s="210"/>
      <c r="R79" s="210"/>
      <c r="S79" s="6"/>
      <c r="T79" s="6"/>
      <c r="U79" s="6"/>
      <c r="V79" s="6"/>
      <c r="W79" s="6"/>
    </row>
    <row r="80" spans="1:23" x14ac:dyDescent="0.2">
      <c r="Q80" s="210"/>
      <c r="R80" s="210"/>
      <c r="S80" s="6"/>
      <c r="T80" s="6"/>
      <c r="U80" s="6"/>
      <c r="V80" s="6"/>
      <c r="W80" s="6"/>
    </row>
    <row r="81" spans="1:23" x14ac:dyDescent="0.2">
      <c r="A81" s="153" t="s">
        <v>136</v>
      </c>
      <c r="Q81" s="210"/>
      <c r="R81" s="210"/>
      <c r="S81" s="6"/>
      <c r="T81" s="6"/>
      <c r="U81" s="6"/>
      <c r="V81" s="6"/>
      <c r="W81" s="6"/>
    </row>
    <row r="82" spans="1:23" x14ac:dyDescent="0.2">
      <c r="A82" s="11" t="s">
        <v>49</v>
      </c>
      <c r="Q82" s="210"/>
      <c r="R82" s="210"/>
      <c r="S82" s="6"/>
      <c r="T82" s="6"/>
      <c r="U82" s="6"/>
      <c r="V82" s="6"/>
      <c r="W82" s="6"/>
    </row>
    <row r="83" spans="1:23" x14ac:dyDescent="0.2">
      <c r="Q83" s="210"/>
      <c r="R83" s="210"/>
      <c r="S83" s="6"/>
      <c r="T83" s="6"/>
      <c r="U83" s="6"/>
      <c r="V83" s="6"/>
      <c r="W83" s="6"/>
    </row>
    <row r="84" spans="1:23" x14ac:dyDescent="0.2">
      <c r="A84" s="6" t="s">
        <v>135</v>
      </c>
      <c r="Q84" s="210"/>
      <c r="R84" s="210"/>
      <c r="S84" s="6"/>
      <c r="T84" s="6"/>
      <c r="U84" s="6"/>
      <c r="V84" s="6"/>
      <c r="W84" s="6"/>
    </row>
    <row r="85" spans="1:23" x14ac:dyDescent="0.2">
      <c r="A85" s="6" t="s">
        <v>50</v>
      </c>
      <c r="Q85" s="210"/>
      <c r="R85" s="210"/>
      <c r="S85" s="6"/>
      <c r="T85" s="6"/>
      <c r="U85" s="6"/>
      <c r="V85" s="6"/>
      <c r="W85" s="6"/>
    </row>
    <row r="86" spans="1:23" x14ac:dyDescent="0.2">
      <c r="A86" s="6" t="s">
        <v>51</v>
      </c>
      <c r="Q86" s="210"/>
      <c r="R86" s="210"/>
      <c r="S86" s="6"/>
      <c r="T86" s="6"/>
      <c r="U86" s="6"/>
      <c r="V86" s="6"/>
      <c r="W86" s="6"/>
    </row>
    <row r="87" spans="1:23" x14ac:dyDescent="0.2">
      <c r="A87" s="6" t="s">
        <v>52</v>
      </c>
      <c r="Q87" s="210"/>
      <c r="R87" s="210"/>
      <c r="S87" s="6"/>
      <c r="T87" s="6"/>
      <c r="U87" s="6"/>
      <c r="V87" s="6"/>
      <c r="W87" s="6"/>
    </row>
    <row r="88" spans="1:23" x14ac:dyDescent="0.2">
      <c r="A88" s="6" t="s">
        <v>53</v>
      </c>
      <c r="Q88" s="210"/>
      <c r="R88" s="210"/>
      <c r="S88" s="6"/>
      <c r="T88" s="6"/>
      <c r="U88" s="6"/>
      <c r="V88" s="6"/>
      <c r="W88" s="6"/>
    </row>
    <row r="89" spans="1:23" x14ac:dyDescent="0.2">
      <c r="Q89" s="210"/>
      <c r="R89" s="210"/>
      <c r="S89" s="6"/>
      <c r="T89" s="6"/>
      <c r="U89" s="6"/>
      <c r="V89" s="6"/>
      <c r="W89" s="6"/>
    </row>
    <row r="90" spans="1:23" x14ac:dyDescent="0.2">
      <c r="A90" s="152"/>
      <c r="B90" s="6" t="s">
        <v>54</v>
      </c>
      <c r="Q90" s="210"/>
      <c r="R90" s="210"/>
      <c r="S90" s="6"/>
      <c r="T90" s="6"/>
      <c r="U90" s="6"/>
      <c r="V90" s="6"/>
      <c r="W90" s="6"/>
    </row>
    <row r="91" spans="1:23" x14ac:dyDescent="0.2">
      <c r="Q91" s="210"/>
      <c r="R91" s="210"/>
      <c r="S91" s="6"/>
      <c r="T91" s="6"/>
      <c r="U91" s="6"/>
      <c r="V91" s="6"/>
      <c r="W91" s="6"/>
    </row>
    <row r="92" spans="1:23" x14ac:dyDescent="0.2">
      <c r="B92" s="153" t="s">
        <v>55</v>
      </c>
      <c r="Q92" s="210"/>
      <c r="R92" s="210"/>
      <c r="S92" s="6"/>
      <c r="T92" s="6"/>
      <c r="U92" s="6"/>
      <c r="V92" s="6"/>
      <c r="W92" s="6"/>
    </row>
  </sheetData>
  <sheetProtection selectLockedCells="1"/>
  <mergeCells count="8">
    <mergeCell ref="D21:D22"/>
    <mergeCell ref="N21:N22"/>
    <mergeCell ref="O21:O22"/>
    <mergeCell ref="A3:K3"/>
    <mergeCell ref="D14:O14"/>
    <mergeCell ref="F20:H20"/>
    <mergeCell ref="J20:L20"/>
    <mergeCell ref="N20:O20"/>
  </mergeCells>
  <dataValidations count="4">
    <dataValidation type="list" allowBlank="1" showInputMessage="1" showErrorMessage="1" sqref="E48:E49 E69 E65 E40:E46 E23:E38 E51:E53 E55:E61">
      <formula1>#REF!</formula1>
    </dataValidation>
    <dataValidation type="list" allowBlank="1" showInputMessage="1" showErrorMessage="1" prompt="Select Charge Unit - monthly, per kWh, per kW" sqref="D69 D65 D23:D38 D40:D46 D73 D48:D49 D51:D61">
      <formula1>"Monthly, per kWh, per kW"</formula1>
    </dataValidation>
    <dataValidation type="list" allowBlank="1" showInputMessage="1" showErrorMessage="1" sqref="D16">
      <formula1>"TOU, non-TOU"</formula1>
    </dataValidation>
    <dataValidation type="list" allowBlank="1" showInputMessage="1" showErrorMessage="1" sqref="E73 E54">
      <formula1>#REF!</formula1>
    </dataValidation>
  </dataValidations>
  <pageMargins left="0.74803149606299213" right="0.74803149606299213" top="0.98425196850393704" bottom="0.98425196850393704" header="0.51181102362204722" footer="0.51181102362204722"/>
  <pageSetup scale="60" fitToWidth="2"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moveWithCells="1">
                  <from>
                    <xdr:col>6</xdr:col>
                    <xdr:colOff>466725</xdr:colOff>
                    <xdr:row>16</xdr:row>
                    <xdr:rowOff>190500</xdr:rowOff>
                  </from>
                  <to>
                    <xdr:col>9</xdr:col>
                    <xdr:colOff>457200</xdr:colOff>
                    <xdr:row>18</xdr:row>
                    <xdr:rowOff>47625</xdr:rowOff>
                  </to>
                </anchor>
              </controlPr>
            </control>
          </mc:Choice>
        </mc:AlternateContent>
        <mc:AlternateContent xmlns:mc="http://schemas.openxmlformats.org/markup-compatibility/2006">
          <mc:Choice Requires="x14">
            <control shapeId="17410" r:id="rId5" name="Option Button 2">
              <controlPr defaultSize="0" autoFill="0" autoLine="0" autoPict="0">
                <anchor moveWithCells="1">
                  <from>
                    <xdr:col>9</xdr:col>
                    <xdr:colOff>342900</xdr:colOff>
                    <xdr:row>16</xdr:row>
                    <xdr:rowOff>133350</xdr:rowOff>
                  </from>
                  <to>
                    <xdr:col>15</xdr:col>
                    <xdr:colOff>209550</xdr:colOff>
                    <xdr:row>18</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88"/>
  <sheetViews>
    <sheetView showGridLines="0" view="pageBreakPreview" zoomScale="70" zoomScaleNormal="85" zoomScaleSheetLayoutView="70" workbookViewId="0">
      <selection activeCell="D14" sqref="D14:O14"/>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9.7109375" style="6" bestFit="1" customWidth="1"/>
    <col min="7" max="7" width="9.85546875" style="6" bestFit="1" customWidth="1"/>
    <col min="8" max="8" width="12.7109375" style="6" bestFit="1" customWidth="1"/>
    <col min="9" max="9" width="2.85546875" style="6" customWidth="1"/>
    <col min="10" max="10" width="11.5703125" style="6" bestFit="1" customWidth="1"/>
    <col min="11" max="11" width="9.85546875" style="6" bestFit="1" customWidth="1"/>
    <col min="12" max="12" width="12.7109375" style="6" bestFit="1" customWidth="1"/>
    <col min="13" max="13" width="2.85546875" style="6" customWidth="1"/>
    <col min="14" max="14" width="11.85546875" style="6" bestFit="1"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85546875" style="21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56</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5000</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+'SC (1000)'!F23</f>
        <v>17.23</v>
      </c>
      <c r="G23" s="25">
        <v>1</v>
      </c>
      <c r="H23" s="26">
        <f>G23*F23</f>
        <v>17.23</v>
      </c>
      <c r="I23" s="27"/>
      <c r="J23" s="24">
        <f>+'SC (1000)'!J23</f>
        <v>17.89</v>
      </c>
      <c r="K23" s="29">
        <v>1</v>
      </c>
      <c r="L23" s="26">
        <f>K23*J23</f>
        <v>17.89</v>
      </c>
      <c r="M23" s="27"/>
      <c r="N23" s="30">
        <f>L23-H23</f>
        <v>0.66000000000000014</v>
      </c>
      <c r="O23" s="31">
        <f>IF((H23)=0,"",(N23/H23))</f>
        <v>3.8305281485780621E-2</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+'SC (1000)'!F29</f>
        <v>2.1600000000000001E-2</v>
      </c>
      <c r="G29" s="25">
        <f>$F$18</f>
        <v>5000</v>
      </c>
      <c r="H29" s="26">
        <f t="shared" si="0"/>
        <v>108</v>
      </c>
      <c r="I29" s="27"/>
      <c r="J29" s="24">
        <f>+'SC (1000)'!J29</f>
        <v>2.2700000000000001E-2</v>
      </c>
      <c r="K29" s="25">
        <f>$F$18</f>
        <v>5000</v>
      </c>
      <c r="L29" s="26">
        <f t="shared" si="1"/>
        <v>113.50000000000001</v>
      </c>
      <c r="M29" s="27"/>
      <c r="N29" s="30">
        <f t="shared" si="2"/>
        <v>5.5000000000000142</v>
      </c>
      <c r="O29" s="31">
        <f t="shared" si="3"/>
        <v>5.0925925925926055E-2</v>
      </c>
      <c r="Q29" s="107"/>
      <c r="S29" s="107"/>
      <c r="U29" s="107"/>
      <c r="W29" s="107"/>
    </row>
    <row r="30" spans="2:23" x14ac:dyDescent="0.2">
      <c r="B30" s="21" t="s">
        <v>22</v>
      </c>
      <c r="C30" s="21"/>
      <c r="D30" s="22"/>
      <c r="E30" s="23"/>
      <c r="F30" s="24"/>
      <c r="G30" s="25">
        <f t="shared" ref="G30" si="4">$F$18</f>
        <v>5000</v>
      </c>
      <c r="H30" s="26">
        <f t="shared" si="0"/>
        <v>0</v>
      </c>
      <c r="I30" s="27"/>
      <c r="J30" s="24"/>
      <c r="K30" s="25">
        <f t="shared" ref="K30:K38" si="5">$F$18</f>
        <v>5000</v>
      </c>
      <c r="L30" s="26">
        <f t="shared" si="1"/>
        <v>0</v>
      </c>
      <c r="M30" s="27"/>
      <c r="N30" s="30">
        <f t="shared" si="2"/>
        <v>0</v>
      </c>
      <c r="O30" s="31" t="str">
        <f t="shared" si="3"/>
        <v/>
      </c>
      <c r="Q30" s="107"/>
      <c r="S30" s="107"/>
      <c r="U30" s="107"/>
      <c r="W30" s="107"/>
    </row>
    <row r="31" spans="2:23" x14ac:dyDescent="0.2">
      <c r="B31" s="21" t="s">
        <v>23</v>
      </c>
      <c r="C31" s="21"/>
      <c r="D31" s="22" t="s">
        <v>21</v>
      </c>
      <c r="E31" s="23"/>
      <c r="F31" s="50">
        <f>+'SC (1000)'!F31</f>
        <v>2.3000000000000001E-4</v>
      </c>
      <c r="G31" s="25">
        <f>$F$18</f>
        <v>5000</v>
      </c>
      <c r="H31" s="26">
        <f t="shared" si="0"/>
        <v>1.1500000000000001</v>
      </c>
      <c r="I31" s="27"/>
      <c r="J31" s="50">
        <f>+'SC (1000)'!J31</f>
        <v>0</v>
      </c>
      <c r="K31" s="25">
        <f t="shared" si="5"/>
        <v>5000</v>
      </c>
      <c r="L31" s="26">
        <f t="shared" si="1"/>
        <v>0</v>
      </c>
      <c r="M31" s="27"/>
      <c r="N31" s="30">
        <f t="shared" si="2"/>
        <v>-1.1500000000000001</v>
      </c>
      <c r="O31" s="31">
        <f t="shared" si="3"/>
        <v>-1</v>
      </c>
      <c r="Q31" s="107"/>
      <c r="S31" s="107"/>
      <c r="U31" s="107"/>
      <c r="W31" s="107"/>
    </row>
    <row r="32" spans="2:23" x14ac:dyDescent="0.2">
      <c r="B32" s="33"/>
      <c r="C32" s="21"/>
      <c r="D32" s="22"/>
      <c r="E32" s="23"/>
      <c r="F32" s="24"/>
      <c r="G32" s="25">
        <f t="shared" ref="G32:G38" si="6">$F$18</f>
        <v>5000</v>
      </c>
      <c r="H32" s="26">
        <f t="shared" si="0"/>
        <v>0</v>
      </c>
      <c r="I32" s="27"/>
      <c r="J32" s="28"/>
      <c r="K32" s="25">
        <f t="shared" si="5"/>
        <v>5000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5000</v>
      </c>
      <c r="H33" s="26">
        <f t="shared" si="0"/>
        <v>0</v>
      </c>
      <c r="I33" s="27"/>
      <c r="J33" s="28"/>
      <c r="K33" s="25">
        <f t="shared" si="5"/>
        <v>5000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5000</v>
      </c>
      <c r="H34" s="26">
        <f t="shared" si="0"/>
        <v>0</v>
      </c>
      <c r="I34" s="27"/>
      <c r="J34" s="28"/>
      <c r="K34" s="25">
        <f t="shared" si="5"/>
        <v>5000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5000</v>
      </c>
      <c r="H35" s="26">
        <f t="shared" si="0"/>
        <v>0</v>
      </c>
      <c r="I35" s="27"/>
      <c r="J35" s="28"/>
      <c r="K35" s="25">
        <f t="shared" si="5"/>
        <v>5000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5000</v>
      </c>
      <c r="H36" s="26">
        <f t="shared" si="0"/>
        <v>0</v>
      </c>
      <c r="I36" s="27"/>
      <c r="J36" s="28"/>
      <c r="K36" s="25">
        <f t="shared" si="5"/>
        <v>5000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5000</v>
      </c>
      <c r="H37" s="26">
        <f t="shared" si="0"/>
        <v>0</v>
      </c>
      <c r="I37" s="27"/>
      <c r="J37" s="28"/>
      <c r="K37" s="25">
        <f t="shared" si="5"/>
        <v>5000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5000</v>
      </c>
      <c r="H38" s="26">
        <f t="shared" si="0"/>
        <v>0</v>
      </c>
      <c r="I38" s="27"/>
      <c r="J38" s="28"/>
      <c r="K38" s="25">
        <f t="shared" si="5"/>
        <v>5000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126.38000000000001</v>
      </c>
      <c r="I39" s="40"/>
      <c r="J39" s="41"/>
      <c r="K39" s="42"/>
      <c r="L39" s="39">
        <f>SUM(L23:L38)</f>
        <v>131.39000000000001</v>
      </c>
      <c r="M39" s="40"/>
      <c r="N39" s="43">
        <f t="shared" si="2"/>
        <v>5.0100000000000051</v>
      </c>
      <c r="O39" s="44">
        <f t="shared" si="3"/>
        <v>3.9642348472859669E-2</v>
      </c>
      <c r="Q39" s="107"/>
      <c r="R39" s="211"/>
      <c r="S39" s="107"/>
      <c r="T39" s="211"/>
      <c r="U39" s="107"/>
      <c r="V39" s="211"/>
      <c r="W39" s="107"/>
    </row>
    <row r="40" spans="2:23" ht="38.25" x14ac:dyDescent="0.2">
      <c r="B40" s="46" t="str">
        <f>+'Res (100)'!B40</f>
        <v>Deferral/Variance Account Disposition Rate Rider Group 1</v>
      </c>
      <c r="C40" s="21"/>
      <c r="D40" s="22" t="s">
        <v>21</v>
      </c>
      <c r="E40" s="23"/>
      <c r="F40" s="50">
        <f>'Proposed Rates'!D39</f>
        <v>-8.4000000000000003E-4</v>
      </c>
      <c r="G40" s="25">
        <f>$F$18</f>
        <v>5000</v>
      </c>
      <c r="H40" s="26">
        <f>G40*F40</f>
        <v>-4.2</v>
      </c>
      <c r="I40" s="27"/>
      <c r="J40" s="50">
        <f>+'SC (1000)'!J40</f>
        <v>0</v>
      </c>
      <c r="K40" s="25">
        <f>$F$18</f>
        <v>5000</v>
      </c>
      <c r="L40" s="26">
        <f>K40*J40</f>
        <v>0</v>
      </c>
      <c r="M40" s="27"/>
      <c r="N40" s="30">
        <f>L40-H40</f>
        <v>4.2</v>
      </c>
      <c r="O40" s="31">
        <f>IF((H40)=0,"",(N40/H40))</f>
        <v>-1</v>
      </c>
      <c r="Q40" s="107"/>
      <c r="S40" s="107"/>
      <c r="U40" s="107"/>
      <c r="W40" s="107"/>
    </row>
    <row r="41" spans="2:23" ht="38.25" x14ac:dyDescent="0.2">
      <c r="B41" s="46" t="str">
        <f>+'Res (100)'!B41</f>
        <v>Deferral/Variance Account Disposition Rate Rider Group 2</v>
      </c>
      <c r="C41" s="21"/>
      <c r="D41" s="22" t="s">
        <v>21</v>
      </c>
      <c r="E41" s="23"/>
      <c r="F41" s="50">
        <f>'Proposed Rates'!D53</f>
        <v>6.9999999999999994E-5</v>
      </c>
      <c r="G41" s="25">
        <f t="shared" ref="G41:G43" si="7">$F$18</f>
        <v>5000</v>
      </c>
      <c r="H41" s="26">
        <f t="shared" ref="H41:H45" si="8">G41*F41</f>
        <v>0.35</v>
      </c>
      <c r="I41" s="47"/>
      <c r="J41" s="50">
        <f>+'SC (1000)'!J41</f>
        <v>0</v>
      </c>
      <c r="K41" s="25">
        <f t="shared" ref="K41:K43" si="9">$F$18</f>
        <v>5000</v>
      </c>
      <c r="L41" s="26">
        <f t="shared" ref="L41:L45" si="10">K41*J41</f>
        <v>0</v>
      </c>
      <c r="M41" s="48"/>
      <c r="N41" s="30">
        <f t="shared" ref="N41:N45" si="11">L41-H41</f>
        <v>-0.35</v>
      </c>
      <c r="O41" s="31">
        <f t="shared" ref="O41:O64" si="12">IF((H41)=0,"",(N41/H41))</f>
        <v>-1</v>
      </c>
      <c r="Q41" s="107"/>
      <c r="S41" s="107"/>
      <c r="U41" s="107"/>
      <c r="W41" s="107"/>
    </row>
    <row r="42" spans="2:23" ht="38.25" x14ac:dyDescent="0.2">
      <c r="B42" s="46" t="str">
        <f>+'Res (100)'!B42</f>
        <v>Deferral / Variance Accounts Balances (excluding Global Adj.) - NON-WMP</v>
      </c>
      <c r="C42" s="21"/>
      <c r="D42" s="22" t="s">
        <v>21</v>
      </c>
      <c r="E42" s="23"/>
      <c r="F42" s="24">
        <f>'Proposed Rates'!D98</f>
        <v>-1.5089999999999999E-3</v>
      </c>
      <c r="G42" s="25">
        <f t="shared" si="7"/>
        <v>5000</v>
      </c>
      <c r="H42" s="26">
        <f t="shared" si="8"/>
        <v>-7.5449999999999999</v>
      </c>
      <c r="I42" s="47"/>
      <c r="J42" s="28">
        <f>+'SC (1000)'!J42</f>
        <v>-2.3E-3</v>
      </c>
      <c r="K42" s="25">
        <f t="shared" si="9"/>
        <v>5000</v>
      </c>
      <c r="L42" s="26">
        <f t="shared" si="10"/>
        <v>-11.5</v>
      </c>
      <c r="M42" s="48"/>
      <c r="N42" s="30">
        <f t="shared" si="11"/>
        <v>-3.9550000000000001</v>
      </c>
      <c r="O42" s="31">
        <f t="shared" si="12"/>
        <v>0.52418820410868128</v>
      </c>
      <c r="Q42" s="107"/>
      <c r="S42" s="107"/>
      <c r="U42" s="107"/>
      <c r="W42" s="107"/>
    </row>
    <row r="43" spans="2:23" ht="38.25" x14ac:dyDescent="0.2">
      <c r="B43" s="46" t="s">
        <v>128</v>
      </c>
      <c r="C43" s="21"/>
      <c r="D43" s="22" t="s">
        <v>21</v>
      </c>
      <c r="E43" s="23"/>
      <c r="F43" s="24">
        <f>+'SC (1000)'!F43</f>
        <v>0</v>
      </c>
      <c r="G43" s="25">
        <f t="shared" si="7"/>
        <v>5000</v>
      </c>
      <c r="H43" s="26">
        <f t="shared" si="8"/>
        <v>0</v>
      </c>
      <c r="I43" s="47"/>
      <c r="J43" s="233">
        <f>+'SC (2000)'!J43</f>
        <v>2.7E-4</v>
      </c>
      <c r="K43" s="25">
        <f t="shared" si="9"/>
        <v>5000</v>
      </c>
      <c r="L43" s="26">
        <f t="shared" si="10"/>
        <v>1.35</v>
      </c>
      <c r="M43" s="48"/>
      <c r="N43" s="30">
        <f t="shared" si="11"/>
        <v>1.35</v>
      </c>
      <c r="O43" s="31" t="str">
        <f t="shared" si="12"/>
        <v/>
      </c>
      <c r="Q43" s="107"/>
      <c r="S43" s="107"/>
      <c r="U43" s="107"/>
      <c r="W43" s="107"/>
    </row>
    <row r="44" spans="2:23" x14ac:dyDescent="0.2">
      <c r="B44" s="49" t="s">
        <v>26</v>
      </c>
      <c r="C44" s="21"/>
      <c r="D44" s="22" t="s">
        <v>21</v>
      </c>
      <c r="E44" s="23"/>
      <c r="F44" s="50">
        <f>'SC (1000)'!F44</f>
        <v>6.0000000000000002E-5</v>
      </c>
      <c r="G44" s="51">
        <f>$F$18*(1+F71)</f>
        <v>5167.5</v>
      </c>
      <c r="H44" s="26">
        <f>G44*F44</f>
        <v>0.31004999999999999</v>
      </c>
      <c r="I44" s="27"/>
      <c r="J44" s="52">
        <f>'SC (1000)'!J44</f>
        <v>6.9999999999999994E-5</v>
      </c>
      <c r="K44" s="51">
        <f>$F$18*(1+J71)</f>
        <v>5167.5</v>
      </c>
      <c r="L44" s="26">
        <f>K44*J44</f>
        <v>0.36172499999999996</v>
      </c>
      <c r="M44" s="27"/>
      <c r="N44" s="30">
        <f>L44-H44</f>
        <v>5.1674999999999971E-2</v>
      </c>
      <c r="O44" s="31">
        <f>IF((H44)=0,"",(N44/H44))</f>
        <v>0.16666666666666657</v>
      </c>
      <c r="Q44" s="107"/>
      <c r="S44" s="107"/>
      <c r="U44" s="107"/>
      <c r="W44" s="107"/>
    </row>
    <row r="45" spans="2:23" x14ac:dyDescent="0.2">
      <c r="B45" s="49" t="s">
        <v>27</v>
      </c>
      <c r="C45" s="21"/>
      <c r="D45" s="22"/>
      <c r="E45" s="23"/>
      <c r="F45" s="53">
        <f>IF(ISBLANK(D16)=TRUE, 0, IF(D16="TOU", 0.65*$F$56+0.17*$F$57+0.18*$F$58, IF(AND(D16="non-TOU", G60&gt;0), F60,F59)))</f>
        <v>0.11139</v>
      </c>
      <c r="G45" s="54">
        <f>$F$18*(1+$F$71)-$F$18</f>
        <v>167.5</v>
      </c>
      <c r="H45" s="26">
        <f t="shared" si="8"/>
        <v>18.657824999999999</v>
      </c>
      <c r="I45" s="27"/>
      <c r="J45" s="55">
        <f>0.65*$J$56+0.17*$J$57+0.18*$J$58</f>
        <v>0.11139</v>
      </c>
      <c r="K45" s="54">
        <f>$F$18*(1+$J$71)-$F$18</f>
        <v>167.5</v>
      </c>
      <c r="L45" s="26">
        <f t="shared" si="10"/>
        <v>18.657824999999999</v>
      </c>
      <c r="M45" s="27"/>
      <c r="N45" s="30">
        <f t="shared" si="11"/>
        <v>0</v>
      </c>
      <c r="O45" s="31">
        <f t="shared" si="12"/>
        <v>0</v>
      </c>
      <c r="Q45" s="107"/>
      <c r="S45" s="107"/>
      <c r="U45" s="107"/>
      <c r="W45" s="107"/>
    </row>
    <row r="46" spans="2:23" x14ac:dyDescent="0.2">
      <c r="B46" s="49" t="s">
        <v>28</v>
      </c>
      <c r="C46" s="21"/>
      <c r="D46" s="22" t="s">
        <v>18</v>
      </c>
      <c r="E46" s="23"/>
      <c r="F46" s="53">
        <f>'SC (1000)'!F46</f>
        <v>0.79</v>
      </c>
      <c r="G46" s="25">
        <v>1</v>
      </c>
      <c r="H46" s="26">
        <f>G46*F46</f>
        <v>0.79</v>
      </c>
      <c r="I46" s="27"/>
      <c r="J46" s="53">
        <f>'SC (1000)'!J46</f>
        <v>0.79</v>
      </c>
      <c r="K46" s="25">
        <v>1</v>
      </c>
      <c r="L46" s="26">
        <f>K46*J46</f>
        <v>0.79</v>
      </c>
      <c r="M46" s="27"/>
      <c r="N46" s="30">
        <f>L46-H46</f>
        <v>0</v>
      </c>
      <c r="O46" s="31">
        <f t="shared" si="12"/>
        <v>0</v>
      </c>
      <c r="Q46" s="107"/>
      <c r="S46" s="107"/>
      <c r="U46" s="107"/>
      <c r="W46" s="107"/>
    </row>
    <row r="47" spans="2:23" ht="25.5" x14ac:dyDescent="0.2">
      <c r="B47" s="56" t="s">
        <v>29</v>
      </c>
      <c r="C47" s="57"/>
      <c r="D47" s="57"/>
      <c r="E47" s="57"/>
      <c r="F47" s="58"/>
      <c r="G47" s="59"/>
      <c r="H47" s="60">
        <f>SUM(H40:H46)+H39</f>
        <v>134.742875</v>
      </c>
      <c r="I47" s="40"/>
      <c r="J47" s="59"/>
      <c r="K47" s="61"/>
      <c r="L47" s="60">
        <f>SUM(L40:L46)+L39</f>
        <v>141.04955000000001</v>
      </c>
      <c r="M47" s="40"/>
      <c r="N47" s="43">
        <f t="shared" ref="N47:N64" si="13">L47-H47</f>
        <v>6.3066750000000127</v>
      </c>
      <c r="O47" s="44">
        <f t="shared" si="12"/>
        <v>4.6805257791924161E-2</v>
      </c>
      <c r="Q47" s="107"/>
      <c r="S47" s="107"/>
      <c r="U47" s="107"/>
      <c r="W47" s="107"/>
    </row>
    <row r="48" spans="2:23" x14ac:dyDescent="0.2">
      <c r="B48" s="27" t="s">
        <v>30</v>
      </c>
      <c r="C48" s="27"/>
      <c r="D48" s="62" t="s">
        <v>21</v>
      </c>
      <c r="E48" s="63"/>
      <c r="F48" s="28">
        <f>'SC (1000)'!F48</f>
        <v>6.8999999999999999E-3</v>
      </c>
      <c r="G48" s="64">
        <f>F18*(1+F71)</f>
        <v>5167.5</v>
      </c>
      <c r="H48" s="26">
        <f>G48*F48</f>
        <v>35.655749999999998</v>
      </c>
      <c r="I48" s="27"/>
      <c r="J48" s="28">
        <f>'SC (1000)'!J48</f>
        <v>6.7999999999999996E-3</v>
      </c>
      <c r="K48" s="65">
        <f>F18*(1+J71)</f>
        <v>5167.5</v>
      </c>
      <c r="L48" s="26">
        <f>K48*J48</f>
        <v>35.138999999999996</v>
      </c>
      <c r="M48" s="27"/>
      <c r="N48" s="30">
        <f t="shared" si="13"/>
        <v>-0.51675000000000182</v>
      </c>
      <c r="O48" s="31">
        <f t="shared" si="12"/>
        <v>-1.4492753623188458E-2</v>
      </c>
      <c r="Q48" s="107"/>
      <c r="S48" s="107"/>
      <c r="U48" s="107"/>
      <c r="W48" s="107"/>
    </row>
    <row r="49" spans="2:23" ht="25.5" x14ac:dyDescent="0.2">
      <c r="B49" s="66" t="s">
        <v>31</v>
      </c>
      <c r="C49" s="27"/>
      <c r="D49" s="62" t="s">
        <v>21</v>
      </c>
      <c r="E49" s="63"/>
      <c r="F49" s="28">
        <f>'SC (1000)'!F49</f>
        <v>4.4999999999999997E-3</v>
      </c>
      <c r="G49" s="64">
        <f>G48</f>
        <v>5167.5</v>
      </c>
      <c r="H49" s="26">
        <f>G49*F49</f>
        <v>23.253749999999997</v>
      </c>
      <c r="I49" s="27"/>
      <c r="J49" s="28">
        <f>'SC (1000)'!J49</f>
        <v>4.4999999999999997E-3</v>
      </c>
      <c r="K49" s="65">
        <f>K48</f>
        <v>5167.5</v>
      </c>
      <c r="L49" s="26">
        <f>K49*J49</f>
        <v>23.253749999999997</v>
      </c>
      <c r="M49" s="27"/>
      <c r="N49" s="30">
        <f t="shared" si="13"/>
        <v>0</v>
      </c>
      <c r="O49" s="31">
        <f t="shared" si="12"/>
        <v>0</v>
      </c>
      <c r="Q49" s="107"/>
      <c r="S49" s="107"/>
      <c r="U49" s="107"/>
      <c r="W49" s="107"/>
    </row>
    <row r="50" spans="2:23" ht="25.5" x14ac:dyDescent="0.2">
      <c r="B50" s="56" t="s">
        <v>32</v>
      </c>
      <c r="C50" s="35"/>
      <c r="D50" s="35"/>
      <c r="E50" s="35"/>
      <c r="F50" s="67"/>
      <c r="G50" s="59"/>
      <c r="H50" s="60">
        <f>SUM(H47:H49)</f>
        <v>193.65237499999998</v>
      </c>
      <c r="I50" s="68"/>
      <c r="J50" s="69"/>
      <c r="K50" s="70"/>
      <c r="L50" s="60">
        <f>SUM(L47:L49)</f>
        <v>199.44230000000002</v>
      </c>
      <c r="M50" s="68"/>
      <c r="N50" s="43">
        <f t="shared" si="13"/>
        <v>5.7899250000000393</v>
      </c>
      <c r="O50" s="44">
        <f t="shared" si="12"/>
        <v>2.9898548881727063E-2</v>
      </c>
      <c r="Q50" s="102"/>
      <c r="S50" s="102"/>
      <c r="U50" s="102"/>
      <c r="W50" s="102"/>
    </row>
    <row r="51" spans="2:23" ht="25.5" x14ac:dyDescent="0.2">
      <c r="B51" s="71" t="s">
        <v>33</v>
      </c>
      <c r="C51" s="21"/>
      <c r="D51" s="22" t="s">
        <v>21</v>
      </c>
      <c r="E51" s="23"/>
      <c r="F51" s="72">
        <f>'SC (1000)'!F51</f>
        <v>3.5999999999999999E-3</v>
      </c>
      <c r="G51" s="64">
        <f>G49</f>
        <v>5167.5</v>
      </c>
      <c r="H51" s="73">
        <f t="shared" ref="H51:H58" si="14">G51*F51</f>
        <v>18.602999999999998</v>
      </c>
      <c r="I51" s="27"/>
      <c r="J51" s="72">
        <f t="shared" ref="J51:J60" si="15">F51</f>
        <v>3.5999999999999999E-3</v>
      </c>
      <c r="K51" s="65">
        <f>K49</f>
        <v>5167.5</v>
      </c>
      <c r="L51" s="73">
        <f t="shared" ref="L51:L58" si="16">K51*J51</f>
        <v>18.602999999999998</v>
      </c>
      <c r="M51" s="27"/>
      <c r="N51" s="30">
        <f t="shared" si="13"/>
        <v>0</v>
      </c>
      <c r="O51" s="74">
        <f t="shared" si="12"/>
        <v>0</v>
      </c>
      <c r="Q51" s="107"/>
      <c r="S51" s="107"/>
      <c r="U51" s="107"/>
      <c r="W51" s="107"/>
    </row>
    <row r="52" spans="2:23" ht="25.5" x14ac:dyDescent="0.2">
      <c r="B52" s="71" t="s">
        <v>34</v>
      </c>
      <c r="C52" s="21"/>
      <c r="D52" s="22" t="s">
        <v>21</v>
      </c>
      <c r="E52" s="23"/>
      <c r="F52" s="72">
        <f>'SC (1000)'!F52</f>
        <v>1.2999999999999999E-3</v>
      </c>
      <c r="G52" s="64">
        <f>G49</f>
        <v>5167.5</v>
      </c>
      <c r="H52" s="73">
        <f t="shared" si="14"/>
        <v>6.7177499999999997</v>
      </c>
      <c r="I52" s="27"/>
      <c r="J52" s="72">
        <f t="shared" si="15"/>
        <v>1.2999999999999999E-3</v>
      </c>
      <c r="K52" s="65">
        <f>K49</f>
        <v>5167.5</v>
      </c>
      <c r="L52" s="73">
        <f t="shared" si="16"/>
        <v>6.7177499999999997</v>
      </c>
      <c r="M52" s="27"/>
      <c r="N52" s="30">
        <f t="shared" si="13"/>
        <v>0</v>
      </c>
      <c r="O52" s="74">
        <f t="shared" si="12"/>
        <v>0</v>
      </c>
      <c r="Q52" s="107"/>
      <c r="S52" s="107"/>
      <c r="U52" s="107"/>
      <c r="W52" s="107"/>
    </row>
    <row r="53" spans="2:23" x14ac:dyDescent="0.2">
      <c r="B53" s="21" t="s">
        <v>35</v>
      </c>
      <c r="C53" s="21"/>
      <c r="D53" s="22" t="s">
        <v>18</v>
      </c>
      <c r="E53" s="23"/>
      <c r="F53" s="72">
        <f>'SC (1000)'!F53</f>
        <v>0.25</v>
      </c>
      <c r="G53" s="25">
        <v>1</v>
      </c>
      <c r="H53" s="73">
        <f t="shared" si="14"/>
        <v>0.25</v>
      </c>
      <c r="I53" s="27"/>
      <c r="J53" s="72">
        <f t="shared" si="15"/>
        <v>0.25</v>
      </c>
      <c r="K53" s="29">
        <v>1</v>
      </c>
      <c r="L53" s="73">
        <f t="shared" si="16"/>
        <v>0.25</v>
      </c>
      <c r="M53" s="27"/>
      <c r="N53" s="30">
        <f t="shared" si="13"/>
        <v>0</v>
      </c>
      <c r="O53" s="74">
        <f t="shared" si="12"/>
        <v>0</v>
      </c>
      <c r="Q53" s="107"/>
      <c r="S53" s="107"/>
      <c r="U53" s="107"/>
      <c r="W53" s="107"/>
    </row>
    <row r="54" spans="2:23" x14ac:dyDescent="0.2">
      <c r="B54" s="21" t="s">
        <v>122</v>
      </c>
      <c r="C54" s="21"/>
      <c r="D54" s="22"/>
      <c r="E54" s="23"/>
      <c r="F54" s="72">
        <f>'Proposed Rates'!D221</f>
        <v>1.1000000000000001E-3</v>
      </c>
      <c r="G54" s="75">
        <f>$F$18*(1+F71)</f>
        <v>5167.5</v>
      </c>
      <c r="H54" s="73">
        <f>G54*F54</f>
        <v>5.6842500000000005</v>
      </c>
      <c r="I54" s="27"/>
      <c r="J54" s="72">
        <f>F54</f>
        <v>1.1000000000000001E-3</v>
      </c>
      <c r="K54" s="75">
        <f>$F$18*(1+J71)</f>
        <v>5167.5</v>
      </c>
      <c r="L54" s="73">
        <f>K54*J54</f>
        <v>5.6842500000000005</v>
      </c>
      <c r="M54" s="27"/>
      <c r="N54" s="30"/>
      <c r="O54" s="74"/>
      <c r="Q54" s="107"/>
      <c r="S54" s="107"/>
      <c r="U54" s="107"/>
      <c r="W54" s="107"/>
    </row>
    <row r="55" spans="2:23" x14ac:dyDescent="0.2">
      <c r="B55" s="21" t="s">
        <v>36</v>
      </c>
      <c r="C55" s="21"/>
      <c r="D55" s="22"/>
      <c r="E55" s="23"/>
      <c r="F55" s="72">
        <f>'SC (1000)'!F55</f>
        <v>6.94E-3</v>
      </c>
      <c r="G55" s="75">
        <f>$F$18</f>
        <v>5000</v>
      </c>
      <c r="H55" s="73">
        <f t="shared" si="14"/>
        <v>34.700000000000003</v>
      </c>
      <c r="I55" s="27"/>
      <c r="J55" s="72">
        <f t="shared" si="15"/>
        <v>6.94E-3</v>
      </c>
      <c r="K55" s="76">
        <f>$F$18</f>
        <v>5000</v>
      </c>
      <c r="L55" s="73">
        <f t="shared" si="16"/>
        <v>34.700000000000003</v>
      </c>
      <c r="M55" s="27"/>
      <c r="N55" s="30">
        <f t="shared" si="13"/>
        <v>0</v>
      </c>
      <c r="O55" s="74">
        <f t="shared" si="12"/>
        <v>0</v>
      </c>
      <c r="Q55" s="107"/>
      <c r="S55" s="107"/>
      <c r="U55" s="107"/>
      <c r="W55" s="107"/>
    </row>
    <row r="56" spans="2:23" x14ac:dyDescent="0.2">
      <c r="B56" s="49" t="s">
        <v>37</v>
      </c>
      <c r="C56" s="21"/>
      <c r="D56" s="22"/>
      <c r="E56" s="23"/>
      <c r="F56" s="72">
        <f>'SC (1000)'!F56</f>
        <v>8.6999999999999994E-2</v>
      </c>
      <c r="G56" s="77">
        <f>0.65*$F$18</f>
        <v>3250</v>
      </c>
      <c r="H56" s="73">
        <f t="shared" si="14"/>
        <v>282.75</v>
      </c>
      <c r="I56" s="27"/>
      <c r="J56" s="72">
        <f t="shared" si="15"/>
        <v>8.6999999999999994E-2</v>
      </c>
      <c r="K56" s="77">
        <f>$G$56</f>
        <v>3250</v>
      </c>
      <c r="L56" s="73">
        <f t="shared" si="16"/>
        <v>282.75</v>
      </c>
      <c r="M56" s="27"/>
      <c r="N56" s="30">
        <f t="shared" si="13"/>
        <v>0</v>
      </c>
      <c r="O56" s="74">
        <f t="shared" si="12"/>
        <v>0</v>
      </c>
      <c r="Q56" s="107"/>
      <c r="S56" s="107"/>
      <c r="U56" s="107"/>
      <c r="W56" s="107"/>
    </row>
    <row r="57" spans="2:23" x14ac:dyDescent="0.2">
      <c r="B57" s="49" t="s">
        <v>38</v>
      </c>
      <c r="C57" s="21"/>
      <c r="D57" s="22"/>
      <c r="E57" s="23"/>
      <c r="F57" s="72">
        <f>'SC (1000)'!F57</f>
        <v>0.13200000000000001</v>
      </c>
      <c r="G57" s="77">
        <f>0.17*$F$18</f>
        <v>850.00000000000011</v>
      </c>
      <c r="H57" s="73">
        <f t="shared" si="14"/>
        <v>112.20000000000002</v>
      </c>
      <c r="I57" s="27"/>
      <c r="J57" s="72">
        <f t="shared" si="15"/>
        <v>0.13200000000000001</v>
      </c>
      <c r="K57" s="77">
        <f>$G$57</f>
        <v>850.00000000000011</v>
      </c>
      <c r="L57" s="73">
        <f t="shared" si="16"/>
        <v>112.20000000000002</v>
      </c>
      <c r="M57" s="27"/>
      <c r="N57" s="30">
        <f t="shared" si="13"/>
        <v>0</v>
      </c>
      <c r="O57" s="74">
        <f t="shared" si="12"/>
        <v>0</v>
      </c>
      <c r="Q57" s="107"/>
      <c r="S57" s="107"/>
      <c r="U57" s="107"/>
      <c r="W57" s="107"/>
    </row>
    <row r="58" spans="2:23" x14ac:dyDescent="0.2">
      <c r="B58" s="11" t="s">
        <v>39</v>
      </c>
      <c r="C58" s="21"/>
      <c r="D58" s="22"/>
      <c r="E58" s="23"/>
      <c r="F58" s="72">
        <f>'SC (1000)'!F58</f>
        <v>0.18</v>
      </c>
      <c r="G58" s="77">
        <f>0.18*$F$18</f>
        <v>900</v>
      </c>
      <c r="H58" s="73">
        <f t="shared" si="14"/>
        <v>162</v>
      </c>
      <c r="I58" s="27"/>
      <c r="J58" s="72">
        <f t="shared" si="15"/>
        <v>0.18</v>
      </c>
      <c r="K58" s="77">
        <f>$G$58</f>
        <v>900</v>
      </c>
      <c r="L58" s="73">
        <f t="shared" si="16"/>
        <v>162</v>
      </c>
      <c r="M58" s="27"/>
      <c r="N58" s="30">
        <f t="shared" si="13"/>
        <v>0</v>
      </c>
      <c r="O58" s="74">
        <f t="shared" si="12"/>
        <v>0</v>
      </c>
      <c r="Q58" s="107"/>
      <c r="S58" s="107"/>
      <c r="U58" s="107"/>
      <c r="W58" s="107"/>
    </row>
    <row r="59" spans="2:23" s="85" customFormat="1" x14ac:dyDescent="0.2">
      <c r="B59" s="78" t="s">
        <v>40</v>
      </c>
      <c r="C59" s="79"/>
      <c r="D59" s="80"/>
      <c r="E59" s="81"/>
      <c r="F59" s="72">
        <f>'SC (1000)'!F59</f>
        <v>0.10299999999999999</v>
      </c>
      <c r="G59" s="82">
        <v>750</v>
      </c>
      <c r="H59" s="73">
        <f>G59*F59</f>
        <v>77.25</v>
      </c>
      <c r="I59" s="83"/>
      <c r="J59" s="72">
        <f t="shared" si="15"/>
        <v>0.10299999999999999</v>
      </c>
      <c r="K59" s="82">
        <f>$G$59</f>
        <v>750</v>
      </c>
      <c r="L59" s="73">
        <f>K59*J59</f>
        <v>77.25</v>
      </c>
      <c r="M59" s="83"/>
      <c r="N59" s="84">
        <f t="shared" si="13"/>
        <v>0</v>
      </c>
      <c r="O59" s="74">
        <f t="shared" si="12"/>
        <v>0</v>
      </c>
      <c r="Q59" s="143"/>
      <c r="R59" s="212"/>
      <c r="S59" s="143"/>
      <c r="T59" s="212"/>
      <c r="U59" s="143"/>
      <c r="V59" s="212"/>
      <c r="W59" s="143"/>
    </row>
    <row r="60" spans="2:23" s="85" customFormat="1" ht="13.5" thickBot="1" x14ac:dyDescent="0.25">
      <c r="B60" s="78" t="s">
        <v>41</v>
      </c>
      <c r="C60" s="79"/>
      <c r="D60" s="80"/>
      <c r="E60" s="81"/>
      <c r="F60" s="72">
        <f>'SC (1000)'!F60</f>
        <v>0.121</v>
      </c>
      <c r="G60" s="82">
        <f>F18-G59</f>
        <v>4250</v>
      </c>
      <c r="H60" s="73">
        <f>G60*F60</f>
        <v>514.25</v>
      </c>
      <c r="I60" s="83"/>
      <c r="J60" s="72">
        <f t="shared" si="15"/>
        <v>0.121</v>
      </c>
      <c r="K60" s="82">
        <f>$G$60</f>
        <v>4250</v>
      </c>
      <c r="L60" s="73">
        <f>K60*J60</f>
        <v>514.25</v>
      </c>
      <c r="M60" s="83"/>
      <c r="N60" s="84">
        <f t="shared" si="13"/>
        <v>0</v>
      </c>
      <c r="O60" s="74">
        <f t="shared" si="12"/>
        <v>0</v>
      </c>
      <c r="Q60" s="143"/>
      <c r="R60" s="212"/>
      <c r="S60" s="143"/>
      <c r="T60" s="212"/>
      <c r="U60" s="143"/>
      <c r="V60" s="212"/>
      <c r="W60" s="143"/>
    </row>
    <row r="61" spans="2:23" ht="8.25" customHeight="1" thickBot="1" x14ac:dyDescent="0.25">
      <c r="B61" s="86"/>
      <c r="C61" s="87"/>
      <c r="D61" s="88"/>
      <c r="E61" s="87"/>
      <c r="F61" s="89"/>
      <c r="G61" s="90"/>
      <c r="H61" s="91"/>
      <c r="I61" s="92"/>
      <c r="J61" s="89"/>
      <c r="K61" s="93"/>
      <c r="L61" s="91"/>
      <c r="M61" s="92"/>
      <c r="N61" s="94"/>
      <c r="O61" s="95"/>
      <c r="Q61" s="107"/>
      <c r="S61" s="107"/>
      <c r="U61" s="107"/>
      <c r="W61" s="107"/>
    </row>
    <row r="62" spans="2:23" x14ac:dyDescent="0.2">
      <c r="B62" s="96" t="s">
        <v>42</v>
      </c>
      <c r="C62" s="21"/>
      <c r="D62" s="21"/>
      <c r="E62" s="21"/>
      <c r="F62" s="97"/>
      <c r="G62" s="98"/>
      <c r="H62" s="99">
        <f>SUM(H51:H58,H50)</f>
        <v>816.55737499999998</v>
      </c>
      <c r="I62" s="100"/>
      <c r="J62" s="101"/>
      <c r="K62" s="101"/>
      <c r="L62" s="103">
        <f>SUM(L51:L58,L50)</f>
        <v>822.34730000000002</v>
      </c>
      <c r="M62" s="102"/>
      <c r="N62" s="103">
        <f t="shared" ref="N62" si="17">L62-H62</f>
        <v>5.7899250000000393</v>
      </c>
      <c r="O62" s="104">
        <f t="shared" ref="O62" si="18">IF((H62)=0,"",(N62/H62))</f>
        <v>7.0906529991233494E-3</v>
      </c>
      <c r="Q62" s="102"/>
      <c r="S62" s="102"/>
      <c r="U62" s="102"/>
      <c r="W62" s="102"/>
    </row>
    <row r="63" spans="2:23" x14ac:dyDescent="0.2">
      <c r="B63" s="105" t="s">
        <v>43</v>
      </c>
      <c r="C63" s="21"/>
      <c r="D63" s="21"/>
      <c r="E63" s="21"/>
      <c r="F63" s="106">
        <v>0.13</v>
      </c>
      <c r="G63" s="107"/>
      <c r="H63" s="108">
        <f>H62*F63</f>
        <v>106.15245874999999</v>
      </c>
      <c r="I63" s="109"/>
      <c r="J63" s="110">
        <v>0.13</v>
      </c>
      <c r="K63" s="109"/>
      <c r="L63" s="111">
        <f>L62*J63</f>
        <v>106.90514900000001</v>
      </c>
      <c r="M63" s="112"/>
      <c r="N63" s="113">
        <f t="shared" si="13"/>
        <v>0.75269025000001477</v>
      </c>
      <c r="O63" s="114">
        <f t="shared" si="12"/>
        <v>7.0906529991234405E-3</v>
      </c>
      <c r="Q63" s="112"/>
      <c r="S63" s="112"/>
      <c r="U63" s="112"/>
      <c r="W63" s="112"/>
    </row>
    <row r="64" spans="2:23" ht="13.5" thickBot="1" x14ac:dyDescent="0.25">
      <c r="B64" s="115" t="s">
        <v>44</v>
      </c>
      <c r="C64" s="21"/>
      <c r="D64" s="21"/>
      <c r="E64" s="21"/>
      <c r="F64" s="116"/>
      <c r="G64" s="107"/>
      <c r="H64" s="108">
        <f>H62+H63</f>
        <v>922.70983374999992</v>
      </c>
      <c r="I64" s="109"/>
      <c r="J64" s="109"/>
      <c r="K64" s="109"/>
      <c r="L64" s="111">
        <f>L62+L63</f>
        <v>929.25244900000007</v>
      </c>
      <c r="M64" s="112"/>
      <c r="N64" s="113">
        <f t="shared" si="13"/>
        <v>6.5426152500001535</v>
      </c>
      <c r="O64" s="114">
        <f t="shared" si="12"/>
        <v>7.0906529991234682E-3</v>
      </c>
      <c r="Q64" s="112"/>
      <c r="S64" s="112"/>
      <c r="U64" s="112"/>
      <c r="W64" s="112"/>
    </row>
    <row r="65" spans="1:23" s="85" customFormat="1" ht="8.25" customHeight="1" thickBot="1" x14ac:dyDescent="0.25">
      <c r="B65" s="117"/>
      <c r="C65" s="118"/>
      <c r="D65" s="119"/>
      <c r="E65" s="118"/>
      <c r="F65" s="89"/>
      <c r="G65" s="120"/>
      <c r="H65" s="91"/>
      <c r="I65" s="121"/>
      <c r="J65" s="89"/>
      <c r="K65" s="122"/>
      <c r="L65" s="91"/>
      <c r="M65" s="121"/>
      <c r="N65" s="123"/>
      <c r="O65" s="95"/>
      <c r="Q65" s="143"/>
      <c r="R65" s="212"/>
      <c r="S65" s="143"/>
      <c r="T65" s="212"/>
      <c r="U65" s="143"/>
      <c r="V65" s="212"/>
      <c r="W65" s="143"/>
    </row>
    <row r="66" spans="1:23" s="85" customFormat="1" x14ac:dyDescent="0.2">
      <c r="B66" s="124" t="s">
        <v>45</v>
      </c>
      <c r="C66" s="79"/>
      <c r="D66" s="79"/>
      <c r="E66" s="79"/>
      <c r="F66" s="125"/>
      <c r="G66" s="126"/>
      <c r="H66" s="127">
        <f>SUM(H59:H60,H50,H51:H55)</f>
        <v>851.10737500000005</v>
      </c>
      <c r="I66" s="128"/>
      <c r="J66" s="129"/>
      <c r="K66" s="129"/>
      <c r="L66" s="131">
        <f>SUM(L59:L60,L50,L51:L55)</f>
        <v>856.89730000000009</v>
      </c>
      <c r="M66" s="130"/>
      <c r="N66" s="131">
        <f t="shared" ref="N66:N68" si="19">L66-H66</f>
        <v>5.7899250000000393</v>
      </c>
      <c r="O66" s="104">
        <f t="shared" ref="O66:O68" si="20">IF((H66)=0,"",(N66/H66))</f>
        <v>6.8028138047799653E-3</v>
      </c>
      <c r="Q66" s="130"/>
      <c r="R66" s="212"/>
      <c r="S66" s="130"/>
      <c r="T66" s="212"/>
      <c r="U66" s="130"/>
      <c r="V66" s="212"/>
      <c r="W66" s="130"/>
    </row>
    <row r="67" spans="1:23" s="85" customFormat="1" x14ac:dyDescent="0.2">
      <c r="B67" s="132" t="s">
        <v>43</v>
      </c>
      <c r="C67" s="79"/>
      <c r="D67" s="79"/>
      <c r="E67" s="79"/>
      <c r="F67" s="133">
        <v>0.13</v>
      </c>
      <c r="G67" s="126"/>
      <c r="H67" s="134">
        <f>H66*F67</f>
        <v>110.64395875000001</v>
      </c>
      <c r="I67" s="135"/>
      <c r="J67" s="136">
        <v>0.13</v>
      </c>
      <c r="K67" s="137"/>
      <c r="L67" s="140">
        <f>L66*J67</f>
        <v>111.39664900000001</v>
      </c>
      <c r="M67" s="139"/>
      <c r="N67" s="140">
        <f t="shared" si="19"/>
        <v>0.75269025000000056</v>
      </c>
      <c r="O67" s="114">
        <f t="shared" si="20"/>
        <v>6.8028138047799246E-3</v>
      </c>
      <c r="Q67" s="139"/>
      <c r="R67" s="212"/>
      <c r="S67" s="139"/>
      <c r="T67" s="212"/>
      <c r="U67" s="139"/>
      <c r="V67" s="212"/>
      <c r="W67" s="139"/>
    </row>
    <row r="68" spans="1:23" s="85" customFormat="1" ht="13.5" thickBot="1" x14ac:dyDescent="0.25">
      <c r="B68" s="141" t="s">
        <v>44</v>
      </c>
      <c r="C68" s="79"/>
      <c r="D68" s="79"/>
      <c r="E68" s="79"/>
      <c r="F68" s="142"/>
      <c r="G68" s="143"/>
      <c r="H68" s="127">
        <f>H66+H67</f>
        <v>961.75133375000007</v>
      </c>
      <c r="I68" s="135"/>
      <c r="J68" s="135"/>
      <c r="K68" s="135"/>
      <c r="L68" s="219">
        <f>L66+L67</f>
        <v>968.29394900000011</v>
      </c>
      <c r="M68" s="139"/>
      <c r="N68" s="140">
        <f t="shared" si="19"/>
        <v>6.5426152500000399</v>
      </c>
      <c r="O68" s="104">
        <f t="shared" si="20"/>
        <v>6.802813804779961E-3</v>
      </c>
      <c r="Q68" s="139"/>
      <c r="R68" s="212"/>
      <c r="S68" s="139"/>
      <c r="T68" s="212"/>
      <c r="U68" s="139"/>
      <c r="V68" s="212"/>
      <c r="W68" s="139"/>
    </row>
    <row r="69" spans="1:23" s="85" customFormat="1" ht="8.25" customHeight="1" thickBot="1" x14ac:dyDescent="0.25">
      <c r="B69" s="117"/>
      <c r="C69" s="118"/>
      <c r="D69" s="119"/>
      <c r="E69" s="118"/>
      <c r="F69" s="144"/>
      <c r="G69" s="145"/>
      <c r="H69" s="146"/>
      <c r="I69" s="147"/>
      <c r="J69" s="144"/>
      <c r="K69" s="120"/>
      <c r="L69" s="148"/>
      <c r="M69" s="121"/>
      <c r="N69" s="149"/>
      <c r="O69" s="95"/>
      <c r="Q69" s="143"/>
      <c r="R69" s="212"/>
      <c r="S69" s="143"/>
      <c r="T69" s="212"/>
      <c r="U69" s="143"/>
      <c r="V69" s="212"/>
      <c r="W69" s="143"/>
    </row>
    <row r="70" spans="1:23" x14ac:dyDescent="0.2">
      <c r="L70" s="150"/>
    </row>
    <row r="71" spans="1:23" x14ac:dyDescent="0.2">
      <c r="B71" s="12" t="s">
        <v>46</v>
      </c>
      <c r="F71" s="151">
        <f>'SC (1000)'!F71</f>
        <v>3.3500000000000002E-2</v>
      </c>
      <c r="J71" s="151">
        <f>+'Res (100)'!J70</f>
        <v>3.3500000000000002E-2</v>
      </c>
    </row>
    <row r="73" spans="1:23" ht="13.5" customHeight="1" x14ac:dyDescent="0.2">
      <c r="Q73" s="210"/>
      <c r="R73" s="210"/>
      <c r="S73" s="6"/>
      <c r="T73" s="6"/>
      <c r="U73" s="6"/>
      <c r="V73" s="6"/>
      <c r="W73" s="6"/>
    </row>
    <row r="74" spans="1:23" ht="12" customHeight="1" x14ac:dyDescent="0.2">
      <c r="A74" s="6" t="s">
        <v>47</v>
      </c>
      <c r="Q74" s="210"/>
      <c r="R74" s="210"/>
      <c r="S74" s="6"/>
      <c r="T74" s="6"/>
      <c r="U74" s="6"/>
      <c r="V74" s="6"/>
      <c r="W74" s="6"/>
    </row>
    <row r="75" spans="1:23" x14ac:dyDescent="0.2">
      <c r="A75" s="6" t="s">
        <v>48</v>
      </c>
      <c r="Q75" s="210"/>
      <c r="R75" s="210"/>
      <c r="S75" s="6"/>
      <c r="T75" s="6"/>
      <c r="U75" s="6"/>
      <c r="V75" s="6"/>
      <c r="W75" s="6"/>
    </row>
    <row r="76" spans="1:23" x14ac:dyDescent="0.2">
      <c r="Q76" s="210"/>
      <c r="R76" s="210"/>
      <c r="S76" s="6"/>
      <c r="T76" s="6"/>
      <c r="U76" s="6"/>
      <c r="V76" s="6"/>
      <c r="W76" s="6"/>
    </row>
    <row r="77" spans="1:23" x14ac:dyDescent="0.2">
      <c r="A77" s="153" t="s">
        <v>136</v>
      </c>
      <c r="Q77" s="210"/>
      <c r="R77" s="210"/>
      <c r="S77" s="6"/>
      <c r="T77" s="6"/>
      <c r="U77" s="6"/>
      <c r="V77" s="6"/>
      <c r="W77" s="6"/>
    </row>
    <row r="78" spans="1:23" x14ac:dyDescent="0.2">
      <c r="A78" s="11" t="s">
        <v>49</v>
      </c>
      <c r="Q78" s="210"/>
      <c r="R78" s="210"/>
      <c r="S78" s="6"/>
      <c r="T78" s="6"/>
      <c r="U78" s="6"/>
      <c r="V78" s="6"/>
      <c r="W78" s="6"/>
    </row>
    <row r="79" spans="1:23" x14ac:dyDescent="0.2">
      <c r="Q79" s="210"/>
      <c r="R79" s="210"/>
      <c r="S79" s="6"/>
      <c r="T79" s="6"/>
      <c r="U79" s="6"/>
      <c r="V79" s="6"/>
      <c r="W79" s="6"/>
    </row>
    <row r="80" spans="1:23" x14ac:dyDescent="0.2">
      <c r="A80" s="6" t="s">
        <v>135</v>
      </c>
      <c r="Q80" s="210"/>
      <c r="R80" s="210"/>
      <c r="S80" s="6"/>
      <c r="T80" s="6"/>
      <c r="U80" s="6"/>
      <c r="V80" s="6"/>
      <c r="W80" s="6"/>
    </row>
    <row r="81" spans="1:23" x14ac:dyDescent="0.2">
      <c r="A81" s="6" t="s">
        <v>50</v>
      </c>
      <c r="Q81" s="210"/>
      <c r="R81" s="210"/>
      <c r="S81" s="6"/>
      <c r="T81" s="6"/>
      <c r="U81" s="6"/>
      <c r="V81" s="6"/>
      <c r="W81" s="6"/>
    </row>
    <row r="82" spans="1:23" x14ac:dyDescent="0.2">
      <c r="A82" s="6" t="s">
        <v>51</v>
      </c>
      <c r="Q82" s="210"/>
      <c r="R82" s="210"/>
      <c r="S82" s="6"/>
      <c r="T82" s="6"/>
      <c r="U82" s="6"/>
      <c r="V82" s="6"/>
      <c r="W82" s="6"/>
    </row>
    <row r="83" spans="1:23" x14ac:dyDescent="0.2">
      <c r="A83" s="6" t="s">
        <v>52</v>
      </c>
      <c r="Q83" s="210"/>
      <c r="R83" s="210"/>
      <c r="S83" s="6"/>
      <c r="T83" s="6"/>
      <c r="U83" s="6"/>
      <c r="V83" s="6"/>
      <c r="W83" s="6"/>
    </row>
    <row r="84" spans="1:23" x14ac:dyDescent="0.2">
      <c r="A84" s="6" t="s">
        <v>53</v>
      </c>
      <c r="Q84" s="210"/>
      <c r="R84" s="210"/>
      <c r="S84" s="6"/>
      <c r="T84" s="6"/>
      <c r="U84" s="6"/>
      <c r="V84" s="6"/>
      <c r="W84" s="6"/>
    </row>
    <row r="85" spans="1:23" x14ac:dyDescent="0.2">
      <c r="Q85" s="210"/>
      <c r="R85" s="210"/>
      <c r="S85" s="6"/>
      <c r="T85" s="6"/>
      <c r="U85" s="6"/>
      <c r="V85" s="6"/>
      <c r="W85" s="6"/>
    </row>
    <row r="86" spans="1:23" x14ac:dyDescent="0.2">
      <c r="A86" s="152"/>
      <c r="B86" s="6" t="s">
        <v>54</v>
      </c>
      <c r="Q86" s="210"/>
      <c r="R86" s="210"/>
      <c r="S86" s="6"/>
      <c r="T86" s="6"/>
      <c r="U86" s="6"/>
      <c r="V86" s="6"/>
      <c r="W86" s="6"/>
    </row>
    <row r="87" spans="1:23" x14ac:dyDescent="0.2">
      <c r="Q87" s="210"/>
      <c r="R87" s="210"/>
      <c r="S87" s="6"/>
      <c r="T87" s="6"/>
      <c r="U87" s="6"/>
      <c r="V87" s="6"/>
      <c r="W87" s="6"/>
    </row>
    <row r="88" spans="1:23" x14ac:dyDescent="0.2">
      <c r="B88" s="153" t="s">
        <v>55</v>
      </c>
      <c r="Q88" s="210"/>
      <c r="R88" s="210"/>
      <c r="S88" s="6"/>
      <c r="T88" s="6"/>
      <c r="U88" s="6"/>
      <c r="V88" s="6"/>
      <c r="W88"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69 D65 D23:D38 D51:D61 D48:D49 D40:D46">
      <formula1>"Monthly, per kWh, per kW"</formula1>
    </dataValidation>
    <dataValidation type="list" allowBlank="1" showInputMessage="1" showErrorMessage="1" sqref="E48:E49 E69 E65 E51:E61 E23:E38 E40:E46">
      <formula1>#REF!</formula1>
    </dataValidation>
  </dataValidations>
  <pageMargins left="0.74803149606299213" right="0.74803149606299213" top="0.98425196850393704" bottom="0.98425196850393704" header="0.51181102362204722" footer="0.51181102362204722"/>
  <pageSetup scale="60" fitToWidth="2" orientation="portrait" r:id="rId1"/>
  <headerFooter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from>
                    <xdr:col>3</xdr:col>
                    <xdr:colOff>38100</xdr:colOff>
                    <xdr:row>7</xdr:row>
                    <xdr:rowOff>19050</xdr:rowOff>
                  </from>
                  <to>
                    <xdr:col>4</xdr:col>
                    <xdr:colOff>28575</xdr:colOff>
                    <xdr:row>7</xdr:row>
                    <xdr:rowOff>114300</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3</xdr:col>
                    <xdr:colOff>733425</xdr:colOff>
                    <xdr:row>6</xdr:row>
                    <xdr:rowOff>142875</xdr:rowOff>
                  </from>
                  <to>
                    <xdr:col>6</xdr:col>
                    <xdr:colOff>314325</xdr:colOff>
                    <xdr:row>7</xdr:row>
                    <xdr:rowOff>161925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88"/>
  <sheetViews>
    <sheetView showGridLines="0" view="pageBreakPreview" zoomScale="70" zoomScaleNormal="85" zoomScaleSheetLayoutView="70" workbookViewId="0">
      <selection activeCell="N23" sqref="N23"/>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9.7109375" style="6" bestFit="1" customWidth="1"/>
    <col min="7" max="7" width="9.85546875" style="6" bestFit="1" customWidth="1"/>
    <col min="8" max="8" width="14.42578125" style="6" bestFit="1" customWidth="1"/>
    <col min="9" max="9" width="2.85546875" style="6" customWidth="1"/>
    <col min="10" max="10" width="11.5703125" style="6" bestFit="1" customWidth="1"/>
    <col min="11" max="11" width="9.85546875" style="6" bestFit="1" customWidth="1"/>
    <col min="12" max="12" width="14.7109375" style="6" bestFit="1" customWidth="1"/>
    <col min="13" max="13" width="2.85546875" style="6" customWidth="1"/>
    <col min="14" max="14" width="11.85546875" style="6" bestFit="1"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7109375" style="211" bestFit="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56</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10000</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+'SC (1000)'!F23</f>
        <v>17.23</v>
      </c>
      <c r="G23" s="25">
        <v>1</v>
      </c>
      <c r="H23" s="26">
        <f>G23*F23</f>
        <v>17.23</v>
      </c>
      <c r="I23" s="27"/>
      <c r="J23" s="24">
        <f>+'SC (1000)'!J23</f>
        <v>17.89</v>
      </c>
      <c r="K23" s="29">
        <v>1</v>
      </c>
      <c r="L23" s="26">
        <f>K23*J23</f>
        <v>17.89</v>
      </c>
      <c r="M23" s="27"/>
      <c r="N23" s="30">
        <f>L23-H23</f>
        <v>0.66000000000000014</v>
      </c>
      <c r="O23" s="31">
        <f>IF((H23)=0,"",(N23/H23))</f>
        <v>3.8305281485780621E-2</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+'SC (1000)'!F29</f>
        <v>2.1600000000000001E-2</v>
      </c>
      <c r="G29" s="25">
        <f>$F$18</f>
        <v>10000</v>
      </c>
      <c r="H29" s="26">
        <f t="shared" si="0"/>
        <v>216</v>
      </c>
      <c r="I29" s="27"/>
      <c r="J29" s="24">
        <f>+'SC (1000)'!J29</f>
        <v>2.2700000000000001E-2</v>
      </c>
      <c r="K29" s="25">
        <f>$F$18</f>
        <v>10000</v>
      </c>
      <c r="L29" s="26">
        <f t="shared" si="1"/>
        <v>227.00000000000003</v>
      </c>
      <c r="M29" s="27"/>
      <c r="N29" s="30">
        <f t="shared" si="2"/>
        <v>11.000000000000028</v>
      </c>
      <c r="O29" s="31">
        <f t="shared" si="3"/>
        <v>5.0925925925926055E-2</v>
      </c>
      <c r="Q29" s="107"/>
      <c r="S29" s="107"/>
      <c r="U29" s="107"/>
      <c r="W29" s="107"/>
    </row>
    <row r="30" spans="2:23" x14ac:dyDescent="0.2">
      <c r="B30" s="21" t="s">
        <v>22</v>
      </c>
      <c r="C30" s="21"/>
      <c r="D30" s="22"/>
      <c r="E30" s="23"/>
      <c r="F30" s="24"/>
      <c r="G30" s="25">
        <f t="shared" ref="G30" si="4">$F$18</f>
        <v>10000</v>
      </c>
      <c r="H30" s="26">
        <f t="shared" si="0"/>
        <v>0</v>
      </c>
      <c r="I30" s="27"/>
      <c r="J30" s="24"/>
      <c r="K30" s="25">
        <f t="shared" ref="K30:K38" si="5">$F$18</f>
        <v>10000</v>
      </c>
      <c r="L30" s="26">
        <f t="shared" si="1"/>
        <v>0</v>
      </c>
      <c r="M30" s="27"/>
      <c r="N30" s="30">
        <f t="shared" si="2"/>
        <v>0</v>
      </c>
      <c r="O30" s="31" t="str">
        <f t="shared" si="3"/>
        <v/>
      </c>
      <c r="Q30" s="107"/>
      <c r="S30" s="107"/>
      <c r="U30" s="107"/>
      <c r="W30" s="107"/>
    </row>
    <row r="31" spans="2:23" x14ac:dyDescent="0.2">
      <c r="B31" s="21" t="s">
        <v>23</v>
      </c>
      <c r="C31" s="21"/>
      <c r="D31" s="22" t="s">
        <v>21</v>
      </c>
      <c r="E31" s="23"/>
      <c r="F31" s="50">
        <f>+'SC (1000)'!F31</f>
        <v>2.3000000000000001E-4</v>
      </c>
      <c r="G31" s="25">
        <f>$F$18</f>
        <v>10000</v>
      </c>
      <c r="H31" s="26">
        <f t="shared" si="0"/>
        <v>2.3000000000000003</v>
      </c>
      <c r="I31" s="27"/>
      <c r="J31" s="50">
        <f>+'SC (1000)'!J31</f>
        <v>0</v>
      </c>
      <c r="K31" s="25">
        <f t="shared" si="5"/>
        <v>10000</v>
      </c>
      <c r="L31" s="26">
        <f t="shared" si="1"/>
        <v>0</v>
      </c>
      <c r="M31" s="27"/>
      <c r="N31" s="30">
        <f t="shared" si="2"/>
        <v>-2.3000000000000003</v>
      </c>
      <c r="O31" s="31">
        <f t="shared" si="3"/>
        <v>-1</v>
      </c>
      <c r="Q31" s="107"/>
      <c r="S31" s="107"/>
      <c r="U31" s="107"/>
      <c r="W31" s="107"/>
    </row>
    <row r="32" spans="2:23" x14ac:dyDescent="0.2">
      <c r="B32" s="33"/>
      <c r="C32" s="21"/>
      <c r="D32" s="22"/>
      <c r="E32" s="23"/>
      <c r="F32" s="28"/>
      <c r="G32" s="25">
        <f t="shared" ref="G32:G38" si="6">$F$18</f>
        <v>10000</v>
      </c>
      <c r="H32" s="26">
        <f t="shared" si="0"/>
        <v>0</v>
      </c>
      <c r="I32" s="27"/>
      <c r="J32" s="28"/>
      <c r="K32" s="25">
        <f t="shared" si="5"/>
        <v>10000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10000</v>
      </c>
      <c r="H33" s="26">
        <f t="shared" si="0"/>
        <v>0</v>
      </c>
      <c r="I33" s="27"/>
      <c r="J33" s="28"/>
      <c r="K33" s="25">
        <f t="shared" si="5"/>
        <v>10000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10000</v>
      </c>
      <c r="H34" s="26">
        <f t="shared" si="0"/>
        <v>0</v>
      </c>
      <c r="I34" s="27"/>
      <c r="J34" s="28"/>
      <c r="K34" s="25">
        <f t="shared" si="5"/>
        <v>10000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10000</v>
      </c>
      <c r="H35" s="26">
        <f t="shared" si="0"/>
        <v>0</v>
      </c>
      <c r="I35" s="27"/>
      <c r="J35" s="28"/>
      <c r="K35" s="25">
        <f t="shared" si="5"/>
        <v>10000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10000</v>
      </c>
      <c r="H36" s="26">
        <f t="shared" si="0"/>
        <v>0</v>
      </c>
      <c r="I36" s="27"/>
      <c r="J36" s="28"/>
      <c r="K36" s="25">
        <f t="shared" si="5"/>
        <v>10000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10000</v>
      </c>
      <c r="H37" s="26">
        <f t="shared" si="0"/>
        <v>0</v>
      </c>
      <c r="I37" s="27"/>
      <c r="J37" s="28"/>
      <c r="K37" s="25">
        <f t="shared" si="5"/>
        <v>10000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10000</v>
      </c>
      <c r="H38" s="26">
        <f t="shared" si="0"/>
        <v>0</v>
      </c>
      <c r="I38" s="27"/>
      <c r="J38" s="28"/>
      <c r="K38" s="25">
        <f t="shared" si="5"/>
        <v>10000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235.53</v>
      </c>
      <c r="I39" s="40"/>
      <c r="J39" s="41"/>
      <c r="K39" s="42"/>
      <c r="L39" s="39">
        <f>SUM(L23:L38)</f>
        <v>244.89000000000004</v>
      </c>
      <c r="M39" s="40"/>
      <c r="N39" s="43">
        <f t="shared" si="2"/>
        <v>9.3600000000000421</v>
      </c>
      <c r="O39" s="44">
        <f t="shared" si="3"/>
        <v>3.9740160489109846E-2</v>
      </c>
      <c r="Q39" s="107"/>
      <c r="R39" s="211"/>
      <c r="S39" s="107"/>
      <c r="T39" s="211"/>
      <c r="U39" s="107"/>
      <c r="V39" s="211"/>
      <c r="W39" s="107"/>
    </row>
    <row r="40" spans="2:23" ht="38.25" x14ac:dyDescent="0.2">
      <c r="B40" s="46" t="str">
        <f>+'Res (100)'!B40</f>
        <v>Deferral/Variance Account Disposition Rate Rider Group 1</v>
      </c>
      <c r="C40" s="21"/>
      <c r="D40" s="22" t="s">
        <v>21</v>
      </c>
      <c r="E40" s="23"/>
      <c r="F40" s="50">
        <f>'Proposed Rates'!D39</f>
        <v>-8.4000000000000003E-4</v>
      </c>
      <c r="G40" s="25">
        <f>$F$18</f>
        <v>10000</v>
      </c>
      <c r="H40" s="26">
        <f>G40*F40</f>
        <v>-8.4</v>
      </c>
      <c r="I40" s="27"/>
      <c r="J40" s="50">
        <f>+'SC (1000)'!J40</f>
        <v>0</v>
      </c>
      <c r="K40" s="25">
        <f>$F$18</f>
        <v>10000</v>
      </c>
      <c r="L40" s="26">
        <f>K40*J40</f>
        <v>0</v>
      </c>
      <c r="M40" s="27"/>
      <c r="N40" s="30">
        <f>L40-H40</f>
        <v>8.4</v>
      </c>
      <c r="O40" s="31">
        <f>IF((H40)=0,"",(N40/H40))</f>
        <v>-1</v>
      </c>
      <c r="Q40" s="107"/>
      <c r="S40" s="107"/>
      <c r="U40" s="107"/>
      <c r="W40" s="107"/>
    </row>
    <row r="41" spans="2:23" ht="38.25" x14ac:dyDescent="0.2">
      <c r="B41" s="46" t="str">
        <f>+'Res (100)'!B41</f>
        <v>Deferral/Variance Account Disposition Rate Rider Group 2</v>
      </c>
      <c r="C41" s="21"/>
      <c r="D41" s="22" t="s">
        <v>21</v>
      </c>
      <c r="E41" s="23"/>
      <c r="F41" s="50">
        <f>'Proposed Rates'!D53</f>
        <v>6.9999999999999994E-5</v>
      </c>
      <c r="G41" s="25">
        <f t="shared" ref="G41:G43" si="7">$F$18</f>
        <v>10000</v>
      </c>
      <c r="H41" s="26">
        <f t="shared" ref="H41:H45" si="8">G41*F41</f>
        <v>0.7</v>
      </c>
      <c r="I41" s="47"/>
      <c r="J41" s="50">
        <f>+'SC (1000)'!J41</f>
        <v>0</v>
      </c>
      <c r="K41" s="25">
        <f t="shared" ref="K41:K43" si="9">$F$18</f>
        <v>10000</v>
      </c>
      <c r="L41" s="26">
        <f t="shared" ref="L41:L45" si="10">K41*J41</f>
        <v>0</v>
      </c>
      <c r="M41" s="48"/>
      <c r="N41" s="30">
        <f t="shared" ref="N41:N45" si="11">L41-H41</f>
        <v>-0.7</v>
      </c>
      <c r="O41" s="31">
        <f t="shared" ref="O41:O64" si="12">IF((H41)=0,"",(N41/H41))</f>
        <v>-1</v>
      </c>
      <c r="Q41" s="107"/>
      <c r="S41" s="107"/>
      <c r="U41" s="107"/>
      <c r="W41" s="107"/>
    </row>
    <row r="42" spans="2:23" ht="38.25" x14ac:dyDescent="0.2">
      <c r="B42" s="46" t="str">
        <f>+'Res (100)'!B42</f>
        <v>Deferral / Variance Accounts Balances (excluding Global Adj.) - NON-WMP</v>
      </c>
      <c r="C42" s="21"/>
      <c r="D42" s="22" t="s">
        <v>21</v>
      </c>
      <c r="E42" s="23"/>
      <c r="F42" s="24">
        <f>'Proposed Rates'!D98</f>
        <v>-1.5089999999999999E-3</v>
      </c>
      <c r="G42" s="25">
        <f t="shared" si="7"/>
        <v>10000</v>
      </c>
      <c r="H42" s="26">
        <f t="shared" si="8"/>
        <v>-15.09</v>
      </c>
      <c r="I42" s="47"/>
      <c r="J42" s="28">
        <f>+'SC (1000)'!J42</f>
        <v>-2.3E-3</v>
      </c>
      <c r="K42" s="25">
        <f t="shared" si="9"/>
        <v>10000</v>
      </c>
      <c r="L42" s="26">
        <f t="shared" si="10"/>
        <v>-23</v>
      </c>
      <c r="M42" s="48"/>
      <c r="N42" s="30">
        <f t="shared" si="11"/>
        <v>-7.91</v>
      </c>
      <c r="O42" s="31">
        <f t="shared" si="12"/>
        <v>0.52418820410868128</v>
      </c>
      <c r="Q42" s="107"/>
      <c r="S42" s="107"/>
      <c r="U42" s="107"/>
      <c r="W42" s="107"/>
    </row>
    <row r="43" spans="2:23" ht="38.25" x14ac:dyDescent="0.2">
      <c r="B43" s="46" t="s">
        <v>128</v>
      </c>
      <c r="C43" s="21"/>
      <c r="D43" s="22" t="s">
        <v>21</v>
      </c>
      <c r="E43" s="23"/>
      <c r="F43" s="24">
        <f>+'SC (1000)'!F43</f>
        <v>0</v>
      </c>
      <c r="G43" s="25">
        <f t="shared" si="7"/>
        <v>10000</v>
      </c>
      <c r="H43" s="26">
        <f t="shared" si="8"/>
        <v>0</v>
      </c>
      <c r="I43" s="47"/>
      <c r="J43" s="233">
        <f>+'SC (1000)'!J43</f>
        <v>2.7E-4</v>
      </c>
      <c r="K43" s="25">
        <f t="shared" si="9"/>
        <v>10000</v>
      </c>
      <c r="L43" s="26">
        <f t="shared" si="10"/>
        <v>2.7</v>
      </c>
      <c r="M43" s="48"/>
      <c r="N43" s="30">
        <f t="shared" si="11"/>
        <v>2.7</v>
      </c>
      <c r="O43" s="31" t="str">
        <f t="shared" si="12"/>
        <v/>
      </c>
      <c r="Q43" s="107"/>
      <c r="S43" s="107"/>
      <c r="U43" s="107"/>
      <c r="W43" s="107"/>
    </row>
    <row r="44" spans="2:23" x14ac:dyDescent="0.2">
      <c r="B44" s="49" t="s">
        <v>26</v>
      </c>
      <c r="C44" s="21"/>
      <c r="D44" s="22" t="s">
        <v>21</v>
      </c>
      <c r="E44" s="23"/>
      <c r="F44" s="50">
        <f>'SC (1000)'!F44</f>
        <v>6.0000000000000002E-5</v>
      </c>
      <c r="G44" s="51">
        <f>$F$18*(1+F71)</f>
        <v>10335</v>
      </c>
      <c r="H44" s="26">
        <f>G44*F44</f>
        <v>0.62009999999999998</v>
      </c>
      <c r="I44" s="27"/>
      <c r="J44" s="52">
        <f>'SC (1000)'!J44</f>
        <v>6.9999999999999994E-5</v>
      </c>
      <c r="K44" s="51">
        <f>$F$18*(1+J71)</f>
        <v>10335</v>
      </c>
      <c r="L44" s="26">
        <f>K44*J44</f>
        <v>0.72344999999999993</v>
      </c>
      <c r="M44" s="27"/>
      <c r="N44" s="30">
        <f>L44-H44</f>
        <v>0.10334999999999994</v>
      </c>
      <c r="O44" s="31">
        <f>IF((H44)=0,"",(N44/H44))</f>
        <v>0.16666666666666657</v>
      </c>
      <c r="Q44" s="107"/>
      <c r="S44" s="107"/>
      <c r="U44" s="107"/>
      <c r="W44" s="107"/>
    </row>
    <row r="45" spans="2:23" x14ac:dyDescent="0.2">
      <c r="B45" s="49" t="s">
        <v>27</v>
      </c>
      <c r="C45" s="21"/>
      <c r="D45" s="22"/>
      <c r="E45" s="23"/>
      <c r="F45" s="53">
        <f>IF(ISBLANK(D16)=TRUE, 0, IF(D16="TOU", 0.65*$F$56+0.17*$F$57+0.18*$F$58, IF(AND(D16="non-TOU", G60&gt;0), F60,F59)))</f>
        <v>0.11139</v>
      </c>
      <c r="G45" s="54">
        <f>$F$18*(1+$F$71)-$F$18</f>
        <v>335</v>
      </c>
      <c r="H45" s="26">
        <f t="shared" si="8"/>
        <v>37.315649999999998</v>
      </c>
      <c r="I45" s="27"/>
      <c r="J45" s="55">
        <f>0.65*$J$56+0.17*$J$57+0.18*$J$58</f>
        <v>0.11139</v>
      </c>
      <c r="K45" s="54">
        <f>$F$18*(1+$J$71)-$F$18</f>
        <v>335</v>
      </c>
      <c r="L45" s="26">
        <f t="shared" si="10"/>
        <v>37.315649999999998</v>
      </c>
      <c r="M45" s="27"/>
      <c r="N45" s="30">
        <f t="shared" si="11"/>
        <v>0</v>
      </c>
      <c r="O45" s="31">
        <f t="shared" si="12"/>
        <v>0</v>
      </c>
      <c r="Q45" s="107"/>
      <c r="S45" s="107"/>
      <c r="U45" s="107"/>
      <c r="W45" s="107"/>
    </row>
    <row r="46" spans="2:23" x14ac:dyDescent="0.2">
      <c r="B46" s="49" t="s">
        <v>28</v>
      </c>
      <c r="C46" s="21"/>
      <c r="D46" s="22" t="s">
        <v>18</v>
      </c>
      <c r="E46" s="23"/>
      <c r="F46" s="53">
        <f>'SC (1000)'!F46</f>
        <v>0.79</v>
      </c>
      <c r="G46" s="25">
        <v>1</v>
      </c>
      <c r="H46" s="26">
        <f>G46*F46</f>
        <v>0.79</v>
      </c>
      <c r="I46" s="27"/>
      <c r="J46" s="53">
        <f>'SC (1000)'!J46</f>
        <v>0.79</v>
      </c>
      <c r="K46" s="25">
        <v>1</v>
      </c>
      <c r="L46" s="26">
        <f>K46*J46</f>
        <v>0.79</v>
      </c>
      <c r="M46" s="27"/>
      <c r="N46" s="30">
        <f>L46-H46</f>
        <v>0</v>
      </c>
      <c r="O46" s="31">
        <f t="shared" si="12"/>
        <v>0</v>
      </c>
      <c r="Q46" s="107"/>
      <c r="S46" s="107"/>
      <c r="U46" s="107"/>
      <c r="W46" s="107"/>
    </row>
    <row r="47" spans="2:23" ht="25.5" x14ac:dyDescent="0.2">
      <c r="B47" s="56" t="s">
        <v>29</v>
      </c>
      <c r="C47" s="57"/>
      <c r="D47" s="57"/>
      <c r="E47" s="57"/>
      <c r="F47" s="58"/>
      <c r="G47" s="59"/>
      <c r="H47" s="60">
        <f>SUM(H40:H46)+H39</f>
        <v>251.46575000000001</v>
      </c>
      <c r="I47" s="40"/>
      <c r="J47" s="59"/>
      <c r="K47" s="61"/>
      <c r="L47" s="60">
        <f>SUM(L40:L46)+L39</f>
        <v>263.41910000000001</v>
      </c>
      <c r="M47" s="40"/>
      <c r="N47" s="43">
        <f t="shared" ref="N47:N64" si="13">L47-H47</f>
        <v>11.95335</v>
      </c>
      <c r="O47" s="44">
        <f t="shared" si="12"/>
        <v>4.7534704030270519E-2</v>
      </c>
      <c r="Q47" s="107"/>
      <c r="S47" s="107"/>
      <c r="U47" s="107"/>
      <c r="W47" s="107"/>
    </row>
    <row r="48" spans="2:23" x14ac:dyDescent="0.2">
      <c r="B48" s="27" t="s">
        <v>30</v>
      </c>
      <c r="C48" s="27"/>
      <c r="D48" s="62" t="s">
        <v>21</v>
      </c>
      <c r="E48" s="63"/>
      <c r="F48" s="28">
        <f>'SC (1000)'!F48</f>
        <v>6.8999999999999999E-3</v>
      </c>
      <c r="G48" s="64">
        <f>F18*(1+F71)</f>
        <v>10335</v>
      </c>
      <c r="H48" s="26">
        <f>G48*F48</f>
        <v>71.311499999999995</v>
      </c>
      <c r="I48" s="27"/>
      <c r="J48" s="28">
        <f>'SC (1000)'!J48</f>
        <v>6.7999999999999996E-3</v>
      </c>
      <c r="K48" s="65">
        <f>F18*(1+J71)</f>
        <v>10335</v>
      </c>
      <c r="L48" s="26">
        <f>K48*J48</f>
        <v>70.277999999999992</v>
      </c>
      <c r="M48" s="27"/>
      <c r="N48" s="30">
        <f t="shared" si="13"/>
        <v>-1.0335000000000036</v>
      </c>
      <c r="O48" s="31">
        <f t="shared" si="12"/>
        <v>-1.4492753623188458E-2</v>
      </c>
      <c r="Q48" s="107"/>
      <c r="S48" s="107"/>
      <c r="U48" s="107"/>
      <c r="W48" s="107"/>
    </row>
    <row r="49" spans="2:23" ht="25.5" x14ac:dyDescent="0.2">
      <c r="B49" s="66" t="s">
        <v>31</v>
      </c>
      <c r="C49" s="27"/>
      <c r="D49" s="62" t="s">
        <v>21</v>
      </c>
      <c r="E49" s="63"/>
      <c r="F49" s="28">
        <f>'SC (1000)'!F49</f>
        <v>4.4999999999999997E-3</v>
      </c>
      <c r="G49" s="64">
        <f>G48</f>
        <v>10335</v>
      </c>
      <c r="H49" s="26">
        <f>G49*F49</f>
        <v>46.507499999999993</v>
      </c>
      <c r="I49" s="27"/>
      <c r="J49" s="28">
        <f>'SC (1000)'!J49</f>
        <v>4.4999999999999997E-3</v>
      </c>
      <c r="K49" s="65">
        <f>K48</f>
        <v>10335</v>
      </c>
      <c r="L49" s="26">
        <f>K49*J49</f>
        <v>46.507499999999993</v>
      </c>
      <c r="M49" s="27"/>
      <c r="N49" s="30">
        <f t="shared" si="13"/>
        <v>0</v>
      </c>
      <c r="O49" s="31">
        <f t="shared" si="12"/>
        <v>0</v>
      </c>
      <c r="Q49" s="107"/>
      <c r="S49" s="107"/>
      <c r="U49" s="107"/>
      <c r="W49" s="107"/>
    </row>
    <row r="50" spans="2:23" ht="25.5" x14ac:dyDescent="0.2">
      <c r="B50" s="56" t="s">
        <v>32</v>
      </c>
      <c r="C50" s="35"/>
      <c r="D50" s="35"/>
      <c r="E50" s="35"/>
      <c r="F50" s="67"/>
      <c r="G50" s="59"/>
      <c r="H50" s="60">
        <f>SUM(H47:H49)</f>
        <v>369.28474999999997</v>
      </c>
      <c r="I50" s="68"/>
      <c r="J50" s="69"/>
      <c r="K50" s="70"/>
      <c r="L50" s="60">
        <f>SUM(L47:L49)</f>
        <v>380.20459999999997</v>
      </c>
      <c r="M50" s="68"/>
      <c r="N50" s="43">
        <f t="shared" si="13"/>
        <v>10.919849999999997</v>
      </c>
      <c r="O50" s="44">
        <f t="shared" si="12"/>
        <v>2.9570270638037442E-2</v>
      </c>
      <c r="Q50" s="102"/>
      <c r="S50" s="102"/>
      <c r="U50" s="102"/>
      <c r="W50" s="102"/>
    </row>
    <row r="51" spans="2:23" ht="25.5" x14ac:dyDescent="0.2">
      <c r="B51" s="71" t="s">
        <v>33</v>
      </c>
      <c r="C51" s="21"/>
      <c r="D51" s="22" t="s">
        <v>21</v>
      </c>
      <c r="E51" s="23"/>
      <c r="F51" s="72">
        <f>'SC (1000)'!F51</f>
        <v>3.5999999999999999E-3</v>
      </c>
      <c r="G51" s="64">
        <f>G49</f>
        <v>10335</v>
      </c>
      <c r="H51" s="73">
        <f t="shared" ref="H51:H58" si="14">G51*F51</f>
        <v>37.205999999999996</v>
      </c>
      <c r="I51" s="27"/>
      <c r="J51" s="72">
        <f>F51</f>
        <v>3.5999999999999999E-3</v>
      </c>
      <c r="K51" s="65">
        <f>K49</f>
        <v>10335</v>
      </c>
      <c r="L51" s="73">
        <f t="shared" ref="L51:L58" si="15">K51*J51</f>
        <v>37.205999999999996</v>
      </c>
      <c r="M51" s="27"/>
      <c r="N51" s="30">
        <f t="shared" si="13"/>
        <v>0</v>
      </c>
      <c r="O51" s="74">
        <f t="shared" si="12"/>
        <v>0</v>
      </c>
      <c r="Q51" s="107"/>
      <c r="S51" s="107"/>
      <c r="U51" s="107"/>
      <c r="W51" s="107"/>
    </row>
    <row r="52" spans="2:23" ht="25.5" x14ac:dyDescent="0.2">
      <c r="B52" s="71" t="s">
        <v>34</v>
      </c>
      <c r="C52" s="21"/>
      <c r="D52" s="22" t="s">
        <v>21</v>
      </c>
      <c r="E52" s="23"/>
      <c r="F52" s="72">
        <f>'SC (1000)'!F52</f>
        <v>1.2999999999999999E-3</v>
      </c>
      <c r="G52" s="64">
        <f>G49</f>
        <v>10335</v>
      </c>
      <c r="H52" s="73">
        <f t="shared" si="14"/>
        <v>13.435499999999999</v>
      </c>
      <c r="I52" s="27"/>
      <c r="J52" s="72">
        <f>F52</f>
        <v>1.2999999999999999E-3</v>
      </c>
      <c r="K52" s="65">
        <f>K49</f>
        <v>10335</v>
      </c>
      <c r="L52" s="73">
        <f t="shared" si="15"/>
        <v>13.435499999999999</v>
      </c>
      <c r="M52" s="27"/>
      <c r="N52" s="30">
        <f t="shared" si="13"/>
        <v>0</v>
      </c>
      <c r="O52" s="74">
        <f t="shared" si="12"/>
        <v>0</v>
      </c>
      <c r="Q52" s="107"/>
      <c r="S52" s="107"/>
      <c r="U52" s="107"/>
      <c r="W52" s="107"/>
    </row>
    <row r="53" spans="2:23" x14ac:dyDescent="0.2">
      <c r="B53" s="21" t="s">
        <v>35</v>
      </c>
      <c r="C53" s="21"/>
      <c r="D53" s="22" t="s">
        <v>18</v>
      </c>
      <c r="E53" s="23"/>
      <c r="F53" s="72">
        <f>'SC (1000)'!F53</f>
        <v>0.25</v>
      </c>
      <c r="G53" s="25">
        <v>1</v>
      </c>
      <c r="H53" s="73">
        <f t="shared" si="14"/>
        <v>0.25</v>
      </c>
      <c r="I53" s="27"/>
      <c r="J53" s="72">
        <f>'SC (1000)'!J53</f>
        <v>0.25</v>
      </c>
      <c r="K53" s="29">
        <v>1</v>
      </c>
      <c r="L53" s="73">
        <f t="shared" si="15"/>
        <v>0.25</v>
      </c>
      <c r="M53" s="27"/>
      <c r="N53" s="30">
        <f t="shared" si="13"/>
        <v>0</v>
      </c>
      <c r="O53" s="74">
        <f t="shared" si="12"/>
        <v>0</v>
      </c>
      <c r="Q53" s="107"/>
      <c r="S53" s="107"/>
      <c r="U53" s="107"/>
      <c r="W53" s="107"/>
    </row>
    <row r="54" spans="2:23" x14ac:dyDescent="0.2">
      <c r="B54" s="21" t="s">
        <v>122</v>
      </c>
      <c r="C54" s="21"/>
      <c r="D54" s="22"/>
      <c r="E54" s="23"/>
      <c r="F54" s="72">
        <f>'Proposed Rates'!D221</f>
        <v>1.1000000000000001E-3</v>
      </c>
      <c r="G54" s="75">
        <f>$F$18*(1+F71)</f>
        <v>10335</v>
      </c>
      <c r="H54" s="73">
        <f>G54*F54</f>
        <v>11.368500000000001</v>
      </c>
      <c r="I54" s="27"/>
      <c r="J54" s="72">
        <f>F54</f>
        <v>1.1000000000000001E-3</v>
      </c>
      <c r="K54" s="75">
        <f>$F$18*(1+J71)</f>
        <v>10335</v>
      </c>
      <c r="L54" s="73">
        <f>K54*J54</f>
        <v>11.368500000000001</v>
      </c>
      <c r="M54" s="27"/>
      <c r="N54" s="30"/>
      <c r="O54" s="74"/>
      <c r="Q54" s="107"/>
      <c r="S54" s="107"/>
      <c r="U54" s="107"/>
      <c r="W54" s="107"/>
    </row>
    <row r="55" spans="2:23" x14ac:dyDescent="0.2">
      <c r="B55" s="21" t="s">
        <v>36</v>
      </c>
      <c r="C55" s="21"/>
      <c r="D55" s="22"/>
      <c r="E55" s="23"/>
      <c r="F55" s="72">
        <f>'SC (1000)'!F55</f>
        <v>6.94E-3</v>
      </c>
      <c r="G55" s="75">
        <f>$F$18</f>
        <v>10000</v>
      </c>
      <c r="H55" s="73">
        <f t="shared" si="14"/>
        <v>69.400000000000006</v>
      </c>
      <c r="I55" s="27"/>
      <c r="J55" s="72">
        <f>+F55</f>
        <v>6.94E-3</v>
      </c>
      <c r="K55" s="76">
        <f>$F$18</f>
        <v>10000</v>
      </c>
      <c r="L55" s="73">
        <f t="shared" si="15"/>
        <v>69.400000000000006</v>
      </c>
      <c r="M55" s="27"/>
      <c r="N55" s="30">
        <f t="shared" si="13"/>
        <v>0</v>
      </c>
      <c r="O55" s="74">
        <f t="shared" si="12"/>
        <v>0</v>
      </c>
      <c r="Q55" s="107"/>
      <c r="S55" s="107"/>
      <c r="U55" s="107"/>
      <c r="W55" s="107"/>
    </row>
    <row r="56" spans="2:23" x14ac:dyDescent="0.2">
      <c r="B56" s="49" t="s">
        <v>37</v>
      </c>
      <c r="C56" s="21"/>
      <c r="D56" s="22"/>
      <c r="E56" s="23"/>
      <c r="F56" s="72">
        <f>'SC (1000)'!F56</f>
        <v>8.6999999999999994E-2</v>
      </c>
      <c r="G56" s="77">
        <f>0.65*$F$18</f>
        <v>6500</v>
      </c>
      <c r="H56" s="73">
        <f t="shared" si="14"/>
        <v>565.5</v>
      </c>
      <c r="I56" s="27"/>
      <c r="J56" s="72">
        <f>F56</f>
        <v>8.6999999999999994E-2</v>
      </c>
      <c r="K56" s="77">
        <f>$G$56</f>
        <v>6500</v>
      </c>
      <c r="L56" s="73">
        <f t="shared" si="15"/>
        <v>565.5</v>
      </c>
      <c r="M56" s="27"/>
      <c r="N56" s="30">
        <f t="shared" si="13"/>
        <v>0</v>
      </c>
      <c r="O56" s="74">
        <f t="shared" si="12"/>
        <v>0</v>
      </c>
      <c r="Q56" s="107"/>
      <c r="S56" s="107"/>
      <c r="U56" s="107"/>
      <c r="W56" s="107"/>
    </row>
    <row r="57" spans="2:23" x14ac:dyDescent="0.2">
      <c r="B57" s="49" t="s">
        <v>38</v>
      </c>
      <c r="C57" s="21"/>
      <c r="D57" s="22"/>
      <c r="E57" s="23"/>
      <c r="F57" s="72">
        <f>'SC (1000)'!F57</f>
        <v>0.13200000000000001</v>
      </c>
      <c r="G57" s="77">
        <f>0.17*$F$18</f>
        <v>1700.0000000000002</v>
      </c>
      <c r="H57" s="73">
        <f t="shared" si="14"/>
        <v>224.40000000000003</v>
      </c>
      <c r="I57" s="27"/>
      <c r="J57" s="72">
        <f>F57</f>
        <v>0.13200000000000001</v>
      </c>
      <c r="K57" s="77">
        <f>$G$57</f>
        <v>1700.0000000000002</v>
      </c>
      <c r="L57" s="73">
        <f t="shared" si="15"/>
        <v>224.40000000000003</v>
      </c>
      <c r="M57" s="27"/>
      <c r="N57" s="30">
        <f t="shared" si="13"/>
        <v>0</v>
      </c>
      <c r="O57" s="74">
        <f t="shared" si="12"/>
        <v>0</v>
      </c>
      <c r="Q57" s="107"/>
      <c r="S57" s="107"/>
      <c r="U57" s="107"/>
      <c r="W57" s="107"/>
    </row>
    <row r="58" spans="2:23" x14ac:dyDescent="0.2">
      <c r="B58" s="11" t="s">
        <v>39</v>
      </c>
      <c r="C58" s="21"/>
      <c r="D58" s="22"/>
      <c r="E58" s="23"/>
      <c r="F58" s="72">
        <f>'SC (1000)'!F58</f>
        <v>0.18</v>
      </c>
      <c r="G58" s="77">
        <f>0.18*$F$18</f>
        <v>1800</v>
      </c>
      <c r="H58" s="73">
        <f t="shared" si="14"/>
        <v>324</v>
      </c>
      <c r="I58" s="27"/>
      <c r="J58" s="72">
        <f>F58</f>
        <v>0.18</v>
      </c>
      <c r="K58" s="77">
        <f>$G$58</f>
        <v>1800</v>
      </c>
      <c r="L58" s="73">
        <f t="shared" si="15"/>
        <v>324</v>
      </c>
      <c r="M58" s="27"/>
      <c r="N58" s="30">
        <f t="shared" si="13"/>
        <v>0</v>
      </c>
      <c r="O58" s="74">
        <f t="shared" si="12"/>
        <v>0</v>
      </c>
      <c r="Q58" s="107"/>
      <c r="S58" s="107"/>
      <c r="U58" s="107"/>
      <c r="W58" s="107"/>
    </row>
    <row r="59" spans="2:23" s="85" customFormat="1" x14ac:dyDescent="0.2">
      <c r="B59" s="78" t="s">
        <v>40</v>
      </c>
      <c r="C59" s="79"/>
      <c r="D59" s="80"/>
      <c r="E59" s="81"/>
      <c r="F59" s="72">
        <f>'SC (1000)'!F59</f>
        <v>0.10299999999999999</v>
      </c>
      <c r="G59" s="82">
        <v>750</v>
      </c>
      <c r="H59" s="73">
        <f>G59*F59</f>
        <v>77.25</v>
      </c>
      <c r="I59" s="83"/>
      <c r="J59" s="72">
        <f>F59</f>
        <v>0.10299999999999999</v>
      </c>
      <c r="K59" s="82">
        <f>$G$59</f>
        <v>750</v>
      </c>
      <c r="L59" s="73">
        <f>K59*J59</f>
        <v>77.25</v>
      </c>
      <c r="M59" s="83"/>
      <c r="N59" s="84">
        <f t="shared" si="13"/>
        <v>0</v>
      </c>
      <c r="O59" s="74">
        <f t="shared" si="12"/>
        <v>0</v>
      </c>
      <c r="Q59" s="143"/>
      <c r="R59" s="212"/>
      <c r="S59" s="143"/>
      <c r="T59" s="212"/>
      <c r="U59" s="143"/>
      <c r="V59" s="212"/>
      <c r="W59" s="143"/>
    </row>
    <row r="60" spans="2:23" s="85" customFormat="1" ht="13.5" thickBot="1" x14ac:dyDescent="0.25">
      <c r="B60" s="78" t="s">
        <v>41</v>
      </c>
      <c r="C60" s="79"/>
      <c r="D60" s="80"/>
      <c r="E60" s="81"/>
      <c r="F60" s="72">
        <f>'SC (1000)'!F60</f>
        <v>0.121</v>
      </c>
      <c r="G60" s="82">
        <f>F18-G59</f>
        <v>9250</v>
      </c>
      <c r="H60" s="73">
        <f>G60*F60</f>
        <v>1119.25</v>
      </c>
      <c r="I60" s="83"/>
      <c r="J60" s="72">
        <f>F60</f>
        <v>0.121</v>
      </c>
      <c r="K60" s="82">
        <f>$G$60</f>
        <v>9250</v>
      </c>
      <c r="L60" s="73">
        <f>K60*J60</f>
        <v>1119.25</v>
      </c>
      <c r="M60" s="83"/>
      <c r="N60" s="84">
        <f t="shared" si="13"/>
        <v>0</v>
      </c>
      <c r="O60" s="74">
        <f t="shared" si="12"/>
        <v>0</v>
      </c>
      <c r="Q60" s="143"/>
      <c r="R60" s="212"/>
      <c r="S60" s="143"/>
      <c r="T60" s="212"/>
      <c r="U60" s="143"/>
      <c r="V60" s="212"/>
      <c r="W60" s="143"/>
    </row>
    <row r="61" spans="2:23" ht="8.25" customHeight="1" thickBot="1" x14ac:dyDescent="0.25">
      <c r="B61" s="86"/>
      <c r="C61" s="87"/>
      <c r="D61" s="88"/>
      <c r="E61" s="87"/>
      <c r="F61" s="89"/>
      <c r="G61" s="90"/>
      <c r="H61" s="91"/>
      <c r="I61" s="92"/>
      <c r="J61" s="89"/>
      <c r="K61" s="93"/>
      <c r="L61" s="91"/>
      <c r="M61" s="92"/>
      <c r="N61" s="94"/>
      <c r="O61" s="95"/>
      <c r="Q61" s="107"/>
      <c r="S61" s="107"/>
      <c r="U61" s="107"/>
      <c r="W61" s="107"/>
    </row>
    <row r="62" spans="2:23" x14ac:dyDescent="0.2">
      <c r="B62" s="96" t="s">
        <v>42</v>
      </c>
      <c r="C62" s="21"/>
      <c r="D62" s="21"/>
      <c r="E62" s="21"/>
      <c r="F62" s="97"/>
      <c r="G62" s="98"/>
      <c r="H62" s="99">
        <f>SUM(H51:H58,H50)</f>
        <v>1614.84475</v>
      </c>
      <c r="I62" s="100"/>
      <c r="J62" s="101"/>
      <c r="K62" s="101"/>
      <c r="L62" s="103">
        <f>SUM(L51:L58,L50)</f>
        <v>1625.7646</v>
      </c>
      <c r="M62" s="102"/>
      <c r="N62" s="103">
        <f t="shared" ref="N62" si="16">L62-H62</f>
        <v>10.919849999999997</v>
      </c>
      <c r="O62" s="104">
        <f t="shared" ref="O62" si="17">IF((H62)=0,"",(N62/H62))</f>
        <v>6.7621670751940683E-3</v>
      </c>
      <c r="Q62" s="102"/>
      <c r="S62" s="102"/>
      <c r="U62" s="102"/>
      <c r="W62" s="102"/>
    </row>
    <row r="63" spans="2:23" x14ac:dyDescent="0.2">
      <c r="B63" s="105" t="s">
        <v>43</v>
      </c>
      <c r="C63" s="21"/>
      <c r="D63" s="21"/>
      <c r="E63" s="21"/>
      <c r="F63" s="106">
        <v>0.13</v>
      </c>
      <c r="G63" s="107"/>
      <c r="H63" s="108">
        <f>H62*F63</f>
        <v>209.92981750000001</v>
      </c>
      <c r="I63" s="109"/>
      <c r="J63" s="110">
        <v>0.13</v>
      </c>
      <c r="K63" s="109"/>
      <c r="L63" s="111">
        <f>L62*J63</f>
        <v>211.34939800000001</v>
      </c>
      <c r="M63" s="112"/>
      <c r="N63" s="113">
        <f t="shared" si="13"/>
        <v>1.419580499999995</v>
      </c>
      <c r="O63" s="114">
        <f t="shared" si="12"/>
        <v>6.7621670751940467E-3</v>
      </c>
      <c r="Q63" s="112"/>
      <c r="S63" s="112"/>
      <c r="U63" s="112"/>
      <c r="W63" s="112"/>
    </row>
    <row r="64" spans="2:23" ht="13.5" thickBot="1" x14ac:dyDescent="0.25">
      <c r="B64" s="115" t="s">
        <v>44</v>
      </c>
      <c r="C64" s="21"/>
      <c r="D64" s="21"/>
      <c r="E64" s="21"/>
      <c r="F64" s="116"/>
      <c r="G64" s="107"/>
      <c r="H64" s="99">
        <f>H62+H63</f>
        <v>1824.7745675000001</v>
      </c>
      <c r="I64" s="109"/>
      <c r="J64" s="109"/>
      <c r="K64" s="109"/>
      <c r="L64" s="220">
        <f>L62+L63</f>
        <v>1837.113998</v>
      </c>
      <c r="M64" s="112"/>
      <c r="N64" s="103">
        <f t="shared" si="13"/>
        <v>12.339430499999935</v>
      </c>
      <c r="O64" s="104">
        <f t="shared" si="12"/>
        <v>6.7621670751940345E-3</v>
      </c>
      <c r="Q64" s="112"/>
      <c r="S64" s="112"/>
      <c r="U64" s="112"/>
      <c r="W64" s="112"/>
    </row>
    <row r="65" spans="1:23" s="85" customFormat="1" ht="8.25" customHeight="1" thickBot="1" x14ac:dyDescent="0.25">
      <c r="B65" s="117"/>
      <c r="C65" s="118"/>
      <c r="D65" s="119"/>
      <c r="E65" s="118"/>
      <c r="F65" s="89"/>
      <c r="G65" s="120"/>
      <c r="H65" s="91"/>
      <c r="I65" s="121"/>
      <c r="J65" s="89"/>
      <c r="K65" s="122"/>
      <c r="L65" s="91"/>
      <c r="M65" s="121"/>
      <c r="N65" s="123"/>
      <c r="O65" s="95"/>
      <c r="Q65" s="143"/>
      <c r="R65" s="212"/>
      <c r="S65" s="143"/>
      <c r="T65" s="212"/>
      <c r="U65" s="143"/>
      <c r="V65" s="212"/>
      <c r="W65" s="143"/>
    </row>
    <row r="66" spans="1:23" s="85" customFormat="1" x14ac:dyDescent="0.2">
      <c r="B66" s="124" t="s">
        <v>45</v>
      </c>
      <c r="C66" s="79"/>
      <c r="D66" s="79"/>
      <c r="E66" s="79"/>
      <c r="F66" s="125"/>
      <c r="G66" s="126"/>
      <c r="H66" s="127">
        <f>SUM(H59:H60,H50,H51:H55)</f>
        <v>1697.4447500000001</v>
      </c>
      <c r="I66" s="128"/>
      <c r="J66" s="129"/>
      <c r="K66" s="129"/>
      <c r="L66" s="131">
        <f>SUM(L59:L60,L50,L51:L55)</f>
        <v>1708.3646000000001</v>
      </c>
      <c r="M66" s="130"/>
      <c r="N66" s="131">
        <f t="shared" ref="N66:N68" si="18">L66-H66</f>
        <v>10.919849999999997</v>
      </c>
      <c r="O66" s="104">
        <f t="shared" ref="O66:O68" si="19">IF((H66)=0,"",(N66/H66))</f>
        <v>6.4331107094943718E-3</v>
      </c>
      <c r="Q66" s="130"/>
      <c r="R66" s="212"/>
      <c r="S66" s="130"/>
      <c r="T66" s="212"/>
      <c r="U66" s="130"/>
      <c r="V66" s="212"/>
      <c r="W66" s="130"/>
    </row>
    <row r="67" spans="1:23" s="85" customFormat="1" x14ac:dyDescent="0.2">
      <c r="B67" s="132" t="s">
        <v>43</v>
      </c>
      <c r="C67" s="79"/>
      <c r="D67" s="79"/>
      <c r="E67" s="79"/>
      <c r="F67" s="133">
        <v>0.13</v>
      </c>
      <c r="G67" s="126"/>
      <c r="H67" s="134">
        <f>H66*F67</f>
        <v>220.66781750000001</v>
      </c>
      <c r="I67" s="135"/>
      <c r="J67" s="136">
        <v>0.13</v>
      </c>
      <c r="K67" s="137"/>
      <c r="L67" s="140">
        <f>L66*J67</f>
        <v>222.08739800000004</v>
      </c>
      <c r="M67" s="139"/>
      <c r="N67" s="140">
        <f t="shared" si="18"/>
        <v>1.4195805000000234</v>
      </c>
      <c r="O67" s="114">
        <f t="shared" si="19"/>
        <v>6.4331107094944794E-3</v>
      </c>
      <c r="Q67" s="139"/>
      <c r="R67" s="212"/>
      <c r="S67" s="139"/>
      <c r="T67" s="212"/>
      <c r="U67" s="139"/>
      <c r="V67" s="212"/>
      <c r="W67" s="139"/>
    </row>
    <row r="68" spans="1:23" s="85" customFormat="1" ht="13.5" thickBot="1" x14ac:dyDescent="0.25">
      <c r="B68" s="141" t="s">
        <v>44</v>
      </c>
      <c r="C68" s="79"/>
      <c r="D68" s="79"/>
      <c r="E68" s="79"/>
      <c r="F68" s="142"/>
      <c r="G68" s="143"/>
      <c r="H68" s="127">
        <f>H66+H67</f>
        <v>1918.1125675000001</v>
      </c>
      <c r="I68" s="135"/>
      <c r="J68" s="135"/>
      <c r="K68" s="135"/>
      <c r="L68" s="219">
        <f>L66+L67</f>
        <v>1930.4519980000002</v>
      </c>
      <c r="M68" s="139"/>
      <c r="N68" s="131">
        <f t="shared" si="18"/>
        <v>12.339430500000162</v>
      </c>
      <c r="O68" s="104">
        <f t="shared" si="19"/>
        <v>6.4331107094944585E-3</v>
      </c>
      <c r="Q68" s="139"/>
      <c r="R68" s="212"/>
      <c r="S68" s="139"/>
      <c r="T68" s="212"/>
      <c r="U68" s="139"/>
      <c r="V68" s="212"/>
      <c r="W68" s="139"/>
    </row>
    <row r="69" spans="1:23" s="85" customFormat="1" ht="8.25" customHeight="1" thickBot="1" x14ac:dyDescent="0.25">
      <c r="B69" s="117"/>
      <c r="C69" s="118"/>
      <c r="D69" s="119"/>
      <c r="E69" s="118"/>
      <c r="F69" s="144"/>
      <c r="G69" s="145"/>
      <c r="H69" s="146"/>
      <c r="I69" s="147"/>
      <c r="J69" s="144"/>
      <c r="K69" s="120"/>
      <c r="L69" s="148"/>
      <c r="M69" s="121"/>
      <c r="N69" s="149"/>
      <c r="O69" s="95"/>
      <c r="Q69" s="143"/>
      <c r="R69" s="212"/>
      <c r="S69" s="143"/>
      <c r="T69" s="212"/>
      <c r="U69" s="143"/>
      <c r="V69" s="212"/>
      <c r="W69" s="143"/>
    </row>
    <row r="70" spans="1:23" x14ac:dyDescent="0.2">
      <c r="L70" s="150"/>
    </row>
    <row r="71" spans="1:23" x14ac:dyDescent="0.2">
      <c r="B71" s="12" t="s">
        <v>46</v>
      </c>
      <c r="F71" s="151">
        <f>'SC (1000)'!F71</f>
        <v>3.3500000000000002E-2</v>
      </c>
      <c r="J71" s="151">
        <f>+'Res (100)'!J70</f>
        <v>3.3500000000000002E-2</v>
      </c>
    </row>
    <row r="73" spans="1:23" ht="13.5" customHeight="1" x14ac:dyDescent="0.2">
      <c r="Q73" s="210"/>
      <c r="R73" s="210"/>
      <c r="S73" s="6"/>
      <c r="T73" s="6"/>
      <c r="U73" s="6"/>
      <c r="V73" s="6"/>
      <c r="W73" s="6"/>
    </row>
    <row r="74" spans="1:23" ht="12" customHeight="1" x14ac:dyDescent="0.2">
      <c r="A74" s="6" t="s">
        <v>47</v>
      </c>
      <c r="Q74" s="210"/>
      <c r="R74" s="210"/>
      <c r="S74" s="6"/>
      <c r="T74" s="6"/>
      <c r="U74" s="6"/>
      <c r="V74" s="6"/>
      <c r="W74" s="6"/>
    </row>
    <row r="75" spans="1:23" x14ac:dyDescent="0.2">
      <c r="A75" s="6" t="s">
        <v>48</v>
      </c>
      <c r="Q75" s="210"/>
      <c r="R75" s="210"/>
      <c r="S75" s="6"/>
      <c r="T75" s="6"/>
      <c r="U75" s="6"/>
      <c r="V75" s="6"/>
      <c r="W75" s="6"/>
    </row>
    <row r="76" spans="1:23" x14ac:dyDescent="0.2">
      <c r="Q76" s="210"/>
      <c r="R76" s="210"/>
      <c r="S76" s="6"/>
      <c r="T76" s="6"/>
      <c r="U76" s="6"/>
      <c r="V76" s="6"/>
      <c r="W76" s="6"/>
    </row>
    <row r="77" spans="1:23" x14ac:dyDescent="0.2">
      <c r="A77" s="153" t="s">
        <v>136</v>
      </c>
      <c r="Q77" s="210"/>
      <c r="R77" s="210"/>
      <c r="S77" s="6"/>
      <c r="T77" s="6"/>
      <c r="U77" s="6"/>
      <c r="V77" s="6"/>
      <c r="W77" s="6"/>
    </row>
    <row r="78" spans="1:23" x14ac:dyDescent="0.2">
      <c r="A78" s="11" t="s">
        <v>49</v>
      </c>
      <c r="Q78" s="210"/>
      <c r="R78" s="210"/>
      <c r="S78" s="6"/>
      <c r="T78" s="6"/>
      <c r="U78" s="6"/>
      <c r="V78" s="6"/>
      <c r="W78" s="6"/>
    </row>
    <row r="79" spans="1:23" x14ac:dyDescent="0.2">
      <c r="Q79" s="210"/>
      <c r="R79" s="210"/>
      <c r="S79" s="6"/>
      <c r="T79" s="6"/>
      <c r="U79" s="6"/>
      <c r="V79" s="6"/>
      <c r="W79" s="6"/>
    </row>
    <row r="80" spans="1:23" x14ac:dyDescent="0.2">
      <c r="A80" s="6" t="s">
        <v>135</v>
      </c>
      <c r="Q80" s="210"/>
      <c r="R80" s="210"/>
      <c r="S80" s="6"/>
      <c r="T80" s="6"/>
      <c r="U80" s="6"/>
      <c r="V80" s="6"/>
      <c r="W80" s="6"/>
    </row>
    <row r="81" spans="1:23" x14ac:dyDescent="0.2">
      <c r="A81" s="6" t="s">
        <v>50</v>
      </c>
      <c r="Q81" s="210"/>
      <c r="R81" s="210"/>
      <c r="S81" s="6"/>
      <c r="T81" s="6"/>
      <c r="U81" s="6"/>
      <c r="V81" s="6"/>
      <c r="W81" s="6"/>
    </row>
    <row r="82" spans="1:23" x14ac:dyDescent="0.2">
      <c r="A82" s="6" t="s">
        <v>51</v>
      </c>
      <c r="Q82" s="210"/>
      <c r="R82" s="210"/>
      <c r="S82" s="6"/>
      <c r="T82" s="6"/>
      <c r="U82" s="6"/>
      <c r="V82" s="6"/>
      <c r="W82" s="6"/>
    </row>
    <row r="83" spans="1:23" x14ac:dyDescent="0.2">
      <c r="A83" s="6" t="s">
        <v>52</v>
      </c>
      <c r="Q83" s="210"/>
      <c r="R83" s="210"/>
      <c r="S83" s="6"/>
      <c r="T83" s="6"/>
      <c r="U83" s="6"/>
      <c r="V83" s="6"/>
      <c r="W83" s="6"/>
    </row>
    <row r="84" spans="1:23" x14ac:dyDescent="0.2">
      <c r="A84" s="6" t="s">
        <v>53</v>
      </c>
      <c r="Q84" s="210"/>
      <c r="R84" s="210"/>
      <c r="S84" s="6"/>
      <c r="T84" s="6"/>
      <c r="U84" s="6"/>
      <c r="V84" s="6"/>
      <c r="W84" s="6"/>
    </row>
    <row r="85" spans="1:23" x14ac:dyDescent="0.2">
      <c r="Q85" s="210"/>
      <c r="R85" s="210"/>
      <c r="S85" s="6"/>
      <c r="T85" s="6"/>
      <c r="U85" s="6"/>
      <c r="V85" s="6"/>
      <c r="W85" s="6"/>
    </row>
    <row r="86" spans="1:23" x14ac:dyDescent="0.2">
      <c r="A86" s="152"/>
      <c r="B86" s="6" t="s">
        <v>54</v>
      </c>
      <c r="Q86" s="210"/>
      <c r="R86" s="210"/>
      <c r="S86" s="6"/>
      <c r="T86" s="6"/>
      <c r="U86" s="6"/>
      <c r="V86" s="6"/>
      <c r="W86" s="6"/>
    </row>
    <row r="87" spans="1:23" x14ac:dyDescent="0.2">
      <c r="Q87" s="210"/>
      <c r="R87" s="210"/>
      <c r="S87" s="6"/>
      <c r="T87" s="6"/>
      <c r="U87" s="6"/>
      <c r="V87" s="6"/>
      <c r="W87" s="6"/>
    </row>
    <row r="88" spans="1:23" x14ac:dyDescent="0.2">
      <c r="B88" s="153" t="s">
        <v>55</v>
      </c>
      <c r="Q88" s="210"/>
      <c r="R88" s="210"/>
      <c r="S88" s="6"/>
      <c r="T88" s="6"/>
      <c r="U88" s="6"/>
      <c r="V88" s="6"/>
      <c r="W88" s="6"/>
    </row>
  </sheetData>
  <sheetProtection selectLockedCells="1"/>
  <mergeCells count="8">
    <mergeCell ref="N21:N22"/>
    <mergeCell ref="O21:O22"/>
    <mergeCell ref="A3:K3"/>
    <mergeCell ref="D14:O14"/>
    <mergeCell ref="F20:H20"/>
    <mergeCell ref="J20:L20"/>
    <mergeCell ref="N20:O20"/>
    <mergeCell ref="D21:D22"/>
  </mergeCells>
  <dataValidations count="3">
    <dataValidation type="list" allowBlank="1" showInputMessage="1" showErrorMessage="1" sqref="E48:E49 E69 E65 E51:E61 E23:E38 E40:E46">
      <formula1>#REF!</formula1>
    </dataValidation>
    <dataValidation type="list" allowBlank="1" showInputMessage="1" showErrorMessage="1" prompt="Select Charge Unit - monthly, per kWh, per kW" sqref="D69 D65 D23:D38 D51:D61 D48:D49 D40:D46">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5" fitToWidth="2"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Option Button 1">
              <controlPr defaultSize="0" autoFill="0" autoLine="0" autoPict="0">
                <anchor moveWithCells="1">
                  <from>
                    <xdr:col>6</xdr:col>
                    <xdr:colOff>476250</xdr:colOff>
                    <xdr:row>16</xdr:row>
                    <xdr:rowOff>171450</xdr:rowOff>
                  </from>
                  <to>
                    <xdr:col>9</xdr:col>
                    <xdr:colOff>333375</xdr:colOff>
                    <xdr:row>18</xdr:row>
                    <xdr:rowOff>28575</xdr:rowOff>
                  </to>
                </anchor>
              </controlPr>
            </control>
          </mc:Choice>
        </mc:AlternateContent>
        <mc:AlternateContent xmlns:mc="http://schemas.openxmlformats.org/markup-compatibility/2006">
          <mc:Choice Requires="x14">
            <control shapeId="30722" r:id="rId5" name="Option Button 2">
              <controlPr defaultSize="0" autoFill="0" autoLine="0" autoPict="0">
                <anchor moveWithCells="1">
                  <from>
                    <xdr:col>9</xdr:col>
                    <xdr:colOff>361950</xdr:colOff>
                    <xdr:row>16</xdr:row>
                    <xdr:rowOff>114300</xdr:rowOff>
                  </from>
                  <to>
                    <xdr:col>15</xdr:col>
                    <xdr:colOff>95250</xdr:colOff>
                    <xdr:row>18</xdr:row>
                    <xdr:rowOff>133350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W88"/>
  <sheetViews>
    <sheetView showGridLines="0" view="pageBreakPreview" topLeftCell="A37" zoomScale="70" zoomScaleNormal="85" zoomScaleSheetLayoutView="70" workbookViewId="0">
      <selection activeCell="J31" sqref="J3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8.5703125" style="6" customWidth="1"/>
    <col min="8" max="8" width="15.140625" style="6" bestFit="1" customWidth="1"/>
    <col min="9" max="9" width="2.85546875" style="6" customWidth="1"/>
    <col min="10" max="10" width="11.5703125" style="6" customWidth="1"/>
    <col min="11" max="11" width="10" style="6" bestFit="1" customWidth="1"/>
    <col min="12" max="12" width="15.140625" style="6" bestFit="1" customWidth="1"/>
    <col min="13" max="13" width="2.85546875" style="6" customWidth="1"/>
    <col min="14" max="14" width="12.140625" style="6" bestFit="1" customWidth="1"/>
    <col min="15" max="15" width="12.28515625" style="6" bestFit="1" customWidth="1"/>
    <col min="16" max="16" width="3.85546875" style="6" customWidth="1"/>
    <col min="17" max="17" width="2.28515625" style="211" bestFit="1" customWidth="1"/>
    <col min="18" max="18" width="4.5703125" style="211" customWidth="1"/>
    <col min="19" max="19" width="2.28515625" style="211" bestFit="1" customWidth="1"/>
    <col min="20" max="20" width="4.5703125" style="211" customWidth="1"/>
    <col min="21" max="21" width="2.28515625" style="211" bestFit="1" customWidth="1"/>
    <col min="22" max="22" width="4.5703125" style="211" customWidth="1"/>
    <col min="23" max="23" width="2.85546875" style="21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56</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15000</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+'SC (1000)'!F23</f>
        <v>17.23</v>
      </c>
      <c r="G23" s="25">
        <v>1</v>
      </c>
      <c r="H23" s="26">
        <f>G23*F23</f>
        <v>17.23</v>
      </c>
      <c r="I23" s="27"/>
      <c r="J23" s="24">
        <f>+'SC (1000)'!J23</f>
        <v>17.89</v>
      </c>
      <c r="K23" s="29">
        <v>1</v>
      </c>
      <c r="L23" s="26">
        <f>K23*J23</f>
        <v>17.89</v>
      </c>
      <c r="M23" s="27"/>
      <c r="N23" s="30">
        <f>L23-H23</f>
        <v>0.66000000000000014</v>
      </c>
      <c r="O23" s="31">
        <f>IF((H23)=0,"",(N23/H23))</f>
        <v>3.8305281485780621E-2</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+'SC (1000)'!F29</f>
        <v>2.1600000000000001E-2</v>
      </c>
      <c r="G29" s="25">
        <f>$F$18</f>
        <v>15000</v>
      </c>
      <c r="H29" s="26">
        <f t="shared" si="0"/>
        <v>324</v>
      </c>
      <c r="I29" s="27"/>
      <c r="J29" s="24">
        <f>+'SC (1000)'!J29</f>
        <v>2.2700000000000001E-2</v>
      </c>
      <c r="K29" s="25">
        <f>$F$18</f>
        <v>15000</v>
      </c>
      <c r="L29" s="26">
        <f t="shared" si="1"/>
        <v>340.5</v>
      </c>
      <c r="M29" s="27"/>
      <c r="N29" s="30">
        <f t="shared" si="2"/>
        <v>16.5</v>
      </c>
      <c r="O29" s="31">
        <f t="shared" si="3"/>
        <v>5.0925925925925923E-2</v>
      </c>
      <c r="Q29" s="107"/>
      <c r="S29" s="107"/>
      <c r="U29" s="107"/>
      <c r="W29" s="107"/>
    </row>
    <row r="30" spans="2:23" x14ac:dyDescent="0.2">
      <c r="B30" s="21" t="s">
        <v>22</v>
      </c>
      <c r="C30" s="21"/>
      <c r="D30" s="22"/>
      <c r="E30" s="23"/>
      <c r="F30" s="24"/>
      <c r="G30" s="25">
        <f t="shared" ref="G30" si="4">$F$18</f>
        <v>15000</v>
      </c>
      <c r="H30" s="26">
        <f t="shared" si="0"/>
        <v>0</v>
      </c>
      <c r="I30" s="27"/>
      <c r="J30" s="24"/>
      <c r="K30" s="25">
        <f t="shared" ref="K30:K38" si="5">$F$18</f>
        <v>15000</v>
      </c>
      <c r="L30" s="26">
        <f t="shared" si="1"/>
        <v>0</v>
      </c>
      <c r="M30" s="27"/>
      <c r="N30" s="30">
        <f t="shared" si="2"/>
        <v>0</v>
      </c>
      <c r="O30" s="31" t="str">
        <f t="shared" si="3"/>
        <v/>
      </c>
      <c r="Q30" s="107"/>
      <c r="S30" s="107"/>
      <c r="U30" s="107"/>
      <c r="W30" s="107"/>
    </row>
    <row r="31" spans="2:23" x14ac:dyDescent="0.2">
      <c r="B31" s="21" t="s">
        <v>23</v>
      </c>
      <c r="C31" s="21"/>
      <c r="D31" s="22" t="s">
        <v>21</v>
      </c>
      <c r="E31" s="23"/>
      <c r="F31" s="50">
        <f>+'SC (1000)'!F31</f>
        <v>2.3000000000000001E-4</v>
      </c>
      <c r="G31" s="25">
        <f>$F$18</f>
        <v>15000</v>
      </c>
      <c r="H31" s="26">
        <f t="shared" si="0"/>
        <v>3.45</v>
      </c>
      <c r="I31" s="27"/>
      <c r="J31" s="50">
        <f>+'SC (1000)'!J31</f>
        <v>0</v>
      </c>
      <c r="K31" s="25">
        <f t="shared" si="5"/>
        <v>15000</v>
      </c>
      <c r="L31" s="26">
        <f t="shared" si="1"/>
        <v>0</v>
      </c>
      <c r="M31" s="27"/>
      <c r="N31" s="30">
        <f t="shared" si="2"/>
        <v>-3.45</v>
      </c>
      <c r="O31" s="31">
        <f t="shared" si="3"/>
        <v>-1</v>
      </c>
      <c r="Q31" s="107"/>
      <c r="S31" s="107"/>
      <c r="U31" s="107"/>
      <c r="W31" s="107"/>
    </row>
    <row r="32" spans="2:23" x14ac:dyDescent="0.2">
      <c r="B32" s="33"/>
      <c r="C32" s="21"/>
      <c r="D32" s="22"/>
      <c r="E32" s="23"/>
      <c r="F32" s="24"/>
      <c r="G32" s="25">
        <f t="shared" ref="G32:G38" si="6">$F$18</f>
        <v>15000</v>
      </c>
      <c r="H32" s="26">
        <f t="shared" si="0"/>
        <v>0</v>
      </c>
      <c r="I32" s="27"/>
      <c r="J32" s="28"/>
      <c r="K32" s="25">
        <f t="shared" si="5"/>
        <v>15000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15000</v>
      </c>
      <c r="H33" s="26">
        <f t="shared" si="0"/>
        <v>0</v>
      </c>
      <c r="I33" s="27"/>
      <c r="J33" s="28"/>
      <c r="K33" s="25">
        <f t="shared" si="5"/>
        <v>15000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15000</v>
      </c>
      <c r="H34" s="26">
        <f t="shared" si="0"/>
        <v>0</v>
      </c>
      <c r="I34" s="27"/>
      <c r="J34" s="28"/>
      <c r="K34" s="25">
        <f t="shared" si="5"/>
        <v>15000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15000</v>
      </c>
      <c r="H35" s="26">
        <f t="shared" si="0"/>
        <v>0</v>
      </c>
      <c r="I35" s="27"/>
      <c r="J35" s="28"/>
      <c r="K35" s="25">
        <f t="shared" si="5"/>
        <v>15000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15000</v>
      </c>
      <c r="H36" s="26">
        <f t="shared" si="0"/>
        <v>0</v>
      </c>
      <c r="I36" s="27"/>
      <c r="J36" s="28"/>
      <c r="K36" s="25">
        <f t="shared" si="5"/>
        <v>15000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15000</v>
      </c>
      <c r="H37" s="26">
        <f t="shared" si="0"/>
        <v>0</v>
      </c>
      <c r="I37" s="27"/>
      <c r="J37" s="28"/>
      <c r="K37" s="25">
        <f t="shared" si="5"/>
        <v>15000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15000</v>
      </c>
      <c r="H38" s="26">
        <f t="shared" si="0"/>
        <v>0</v>
      </c>
      <c r="I38" s="27"/>
      <c r="J38" s="28"/>
      <c r="K38" s="25">
        <f t="shared" si="5"/>
        <v>15000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344.68</v>
      </c>
      <c r="I39" s="40"/>
      <c r="J39" s="41"/>
      <c r="K39" s="42"/>
      <c r="L39" s="39">
        <f>SUM(L23:L38)</f>
        <v>358.39</v>
      </c>
      <c r="M39" s="40"/>
      <c r="N39" s="43">
        <f t="shared" si="2"/>
        <v>13.70999999999998</v>
      </c>
      <c r="O39" s="44">
        <f t="shared" si="3"/>
        <v>3.9776024138331145E-2</v>
      </c>
      <c r="Q39" s="107"/>
      <c r="R39" s="211"/>
      <c r="S39" s="107"/>
      <c r="T39" s="211"/>
      <c r="U39" s="107"/>
      <c r="V39" s="211"/>
      <c r="W39" s="107"/>
    </row>
    <row r="40" spans="2:23" ht="38.25" x14ac:dyDescent="0.2">
      <c r="B40" s="46" t="str">
        <f>+'Res (100)'!B40</f>
        <v>Deferral/Variance Account Disposition Rate Rider Group 1</v>
      </c>
      <c r="C40" s="21"/>
      <c r="D40" s="22" t="s">
        <v>21</v>
      </c>
      <c r="E40" s="23"/>
      <c r="F40" s="50">
        <f>'Proposed Rates'!D39</f>
        <v>-8.4000000000000003E-4</v>
      </c>
      <c r="G40" s="25">
        <f>$F$18</f>
        <v>15000</v>
      </c>
      <c r="H40" s="26">
        <f>G40*F40</f>
        <v>-12.6</v>
      </c>
      <c r="I40" s="27"/>
      <c r="J40" s="50">
        <f>+'SC (1000)'!J40</f>
        <v>0</v>
      </c>
      <c r="K40" s="25">
        <f>$F$18</f>
        <v>15000</v>
      </c>
      <c r="L40" s="26">
        <f>K40*J40</f>
        <v>0</v>
      </c>
      <c r="M40" s="27"/>
      <c r="N40" s="30">
        <f>L40-H40</f>
        <v>12.6</v>
      </c>
      <c r="O40" s="31">
        <f>IF((H40)=0,"",(N40/H40))</f>
        <v>-1</v>
      </c>
      <c r="Q40" s="107"/>
      <c r="S40" s="107"/>
      <c r="U40" s="107"/>
      <c r="W40" s="107"/>
    </row>
    <row r="41" spans="2:23" ht="38.25" x14ac:dyDescent="0.2">
      <c r="B41" s="46" t="str">
        <f>+'Res (100)'!B41</f>
        <v>Deferral/Variance Account Disposition Rate Rider Group 2</v>
      </c>
      <c r="C41" s="21"/>
      <c r="D41" s="22" t="s">
        <v>21</v>
      </c>
      <c r="E41" s="23"/>
      <c r="F41" s="50">
        <f>'Proposed Rates'!D53</f>
        <v>6.9999999999999994E-5</v>
      </c>
      <c r="G41" s="25">
        <f t="shared" ref="G41:G43" si="7">$F$18</f>
        <v>15000</v>
      </c>
      <c r="H41" s="26">
        <f t="shared" ref="H41:H45" si="8">G41*F41</f>
        <v>1.0499999999999998</v>
      </c>
      <c r="I41" s="47"/>
      <c r="J41" s="50">
        <f>+'SC (1000)'!J41</f>
        <v>0</v>
      </c>
      <c r="K41" s="25">
        <f t="shared" ref="K41:K43" si="9">$F$18</f>
        <v>15000</v>
      </c>
      <c r="L41" s="26">
        <f t="shared" ref="L41:L45" si="10">K41*J41</f>
        <v>0</v>
      </c>
      <c r="M41" s="48"/>
      <c r="N41" s="30">
        <f t="shared" ref="N41:N45" si="11">L41-H41</f>
        <v>-1.0499999999999998</v>
      </c>
      <c r="O41" s="31">
        <f t="shared" ref="O41:O64" si="12">IF((H41)=0,"",(N41/H41))</f>
        <v>-1</v>
      </c>
      <c r="Q41" s="107"/>
      <c r="S41" s="107"/>
      <c r="U41" s="107"/>
      <c r="W41" s="107"/>
    </row>
    <row r="42" spans="2:23" ht="38.25" x14ac:dyDescent="0.2">
      <c r="B42" s="46" t="str">
        <f>+'Res (100)'!B42</f>
        <v>Deferral / Variance Accounts Balances (excluding Global Adj.) - NON-WMP</v>
      </c>
      <c r="C42" s="21"/>
      <c r="D42" s="22" t="s">
        <v>21</v>
      </c>
      <c r="E42" s="23"/>
      <c r="F42" s="24">
        <f>'Proposed Rates'!D98</f>
        <v>-1.5089999999999999E-3</v>
      </c>
      <c r="G42" s="25">
        <f t="shared" si="7"/>
        <v>15000</v>
      </c>
      <c r="H42" s="26">
        <f t="shared" si="8"/>
        <v>-22.634999999999998</v>
      </c>
      <c r="I42" s="47"/>
      <c r="J42" s="28">
        <f>+'SC (1000)'!J42</f>
        <v>-2.3E-3</v>
      </c>
      <c r="K42" s="25">
        <f t="shared" si="9"/>
        <v>15000</v>
      </c>
      <c r="L42" s="26">
        <f t="shared" si="10"/>
        <v>-34.5</v>
      </c>
      <c r="M42" s="48"/>
      <c r="N42" s="30">
        <f t="shared" si="11"/>
        <v>-11.865000000000002</v>
      </c>
      <c r="O42" s="31">
        <f t="shared" si="12"/>
        <v>0.52418820410868139</v>
      </c>
      <c r="Q42" s="107"/>
      <c r="S42" s="107"/>
      <c r="U42" s="107"/>
      <c r="W42" s="107"/>
    </row>
    <row r="43" spans="2:23" ht="38.25" x14ac:dyDescent="0.2">
      <c r="B43" s="46" t="s">
        <v>128</v>
      </c>
      <c r="C43" s="21"/>
      <c r="D43" s="22" t="s">
        <v>21</v>
      </c>
      <c r="E43" s="23"/>
      <c r="F43" s="24">
        <f>+'SC (1000)'!F43</f>
        <v>0</v>
      </c>
      <c r="G43" s="25">
        <f t="shared" si="7"/>
        <v>15000</v>
      </c>
      <c r="H43" s="26">
        <f t="shared" si="8"/>
        <v>0</v>
      </c>
      <c r="I43" s="47"/>
      <c r="J43" s="233">
        <f>+'SC (1000)'!J43</f>
        <v>2.7E-4</v>
      </c>
      <c r="K43" s="25">
        <f t="shared" si="9"/>
        <v>15000</v>
      </c>
      <c r="L43" s="26">
        <f t="shared" si="10"/>
        <v>4.05</v>
      </c>
      <c r="M43" s="48"/>
      <c r="N43" s="30">
        <f t="shared" si="11"/>
        <v>4.05</v>
      </c>
      <c r="O43" s="31" t="str">
        <f t="shared" si="12"/>
        <v/>
      </c>
      <c r="Q43" s="107"/>
      <c r="S43" s="107"/>
      <c r="U43" s="107"/>
      <c r="W43" s="107"/>
    </row>
    <row r="44" spans="2:23" x14ac:dyDescent="0.2">
      <c r="B44" s="49" t="s">
        <v>26</v>
      </c>
      <c r="C44" s="21"/>
      <c r="D44" s="22" t="s">
        <v>21</v>
      </c>
      <c r="E44" s="23"/>
      <c r="F44" s="50">
        <f>'SC (1000)'!F44</f>
        <v>6.0000000000000002E-5</v>
      </c>
      <c r="G44" s="51">
        <f>$F$18*(1+F71)</f>
        <v>15502.500000000002</v>
      </c>
      <c r="H44" s="26">
        <f>G44*F44</f>
        <v>0.93015000000000014</v>
      </c>
      <c r="I44" s="27"/>
      <c r="J44" s="52">
        <f>'SC (1000)'!J44</f>
        <v>6.9999999999999994E-5</v>
      </c>
      <c r="K44" s="51">
        <f>$F$18*(1+J71)</f>
        <v>15502.500000000002</v>
      </c>
      <c r="L44" s="26">
        <f>K44*J44</f>
        <v>1.085175</v>
      </c>
      <c r="M44" s="27"/>
      <c r="N44" s="30">
        <f>L44-H44</f>
        <v>0.15502499999999986</v>
      </c>
      <c r="O44" s="31">
        <f>IF((H44)=0,"",(N44/H44))</f>
        <v>0.16666666666666649</v>
      </c>
      <c r="Q44" s="107"/>
      <c r="S44" s="107"/>
      <c r="U44" s="107"/>
      <c r="W44" s="107"/>
    </row>
    <row r="45" spans="2:23" x14ac:dyDescent="0.2">
      <c r="B45" s="49" t="s">
        <v>27</v>
      </c>
      <c r="C45" s="21"/>
      <c r="D45" s="22"/>
      <c r="E45" s="23"/>
      <c r="F45" s="53">
        <f>IF(ISBLANK(D16)=TRUE, 0, IF(D16="TOU", 0.65*$F$56+0.17*$F$57+0.18*$F$58, IF(AND(D16="non-TOU", G60&gt;0), F60,F59)))</f>
        <v>0.11139</v>
      </c>
      <c r="G45" s="54">
        <f>$F$18*(1+$F$71)-$F$18</f>
        <v>502.50000000000182</v>
      </c>
      <c r="H45" s="26">
        <f t="shared" si="8"/>
        <v>55.973475000000207</v>
      </c>
      <c r="I45" s="27"/>
      <c r="J45" s="55">
        <f>0.65*$J$56+0.17*$J$57+0.18*$J$58</f>
        <v>0.11139</v>
      </c>
      <c r="K45" s="54">
        <f>$F$18*(1+$J$71)-$F$18</f>
        <v>502.50000000000182</v>
      </c>
      <c r="L45" s="26">
        <f t="shared" si="10"/>
        <v>55.973475000000207</v>
      </c>
      <c r="M45" s="27"/>
      <c r="N45" s="30">
        <f t="shared" si="11"/>
        <v>0</v>
      </c>
      <c r="O45" s="31">
        <f t="shared" si="12"/>
        <v>0</v>
      </c>
      <c r="Q45" s="107"/>
      <c r="S45" s="107"/>
      <c r="U45" s="107"/>
      <c r="W45" s="107"/>
    </row>
    <row r="46" spans="2:23" x14ac:dyDescent="0.2">
      <c r="B46" s="49" t="s">
        <v>28</v>
      </c>
      <c r="C46" s="21"/>
      <c r="D46" s="22" t="s">
        <v>18</v>
      </c>
      <c r="E46" s="23"/>
      <c r="F46" s="53">
        <f>'SC (1000)'!F46</f>
        <v>0.79</v>
      </c>
      <c r="G46" s="25">
        <v>1</v>
      </c>
      <c r="H46" s="26">
        <f>G46*F46</f>
        <v>0.79</v>
      </c>
      <c r="I46" s="27"/>
      <c r="J46" s="53">
        <f>'SC (1000)'!J46</f>
        <v>0.79</v>
      </c>
      <c r="K46" s="25">
        <v>1</v>
      </c>
      <c r="L46" s="26">
        <f>K46*J46</f>
        <v>0.79</v>
      </c>
      <c r="M46" s="27"/>
      <c r="N46" s="30">
        <f>L46-H46</f>
        <v>0</v>
      </c>
      <c r="O46" s="31">
        <f t="shared" si="12"/>
        <v>0</v>
      </c>
      <c r="Q46" s="107"/>
      <c r="S46" s="107"/>
      <c r="U46" s="107"/>
      <c r="W46" s="107"/>
    </row>
    <row r="47" spans="2:23" ht="25.5" x14ac:dyDescent="0.2">
      <c r="B47" s="56" t="s">
        <v>29</v>
      </c>
      <c r="C47" s="57"/>
      <c r="D47" s="57"/>
      <c r="E47" s="57"/>
      <c r="F47" s="58"/>
      <c r="G47" s="59"/>
      <c r="H47" s="60">
        <f>SUM(H40:H46)+H39</f>
        <v>368.18862500000023</v>
      </c>
      <c r="I47" s="40"/>
      <c r="J47" s="59"/>
      <c r="K47" s="61"/>
      <c r="L47" s="60">
        <f>SUM(L40:L46)+L39</f>
        <v>385.78865000000019</v>
      </c>
      <c r="M47" s="40"/>
      <c r="N47" s="43">
        <f t="shared" ref="N47:N64" si="13">L47-H47</f>
        <v>17.60002499999996</v>
      </c>
      <c r="O47" s="44">
        <f t="shared" si="12"/>
        <v>4.7801653296594776E-2</v>
      </c>
      <c r="Q47" s="107"/>
      <c r="S47" s="107"/>
      <c r="U47" s="107"/>
      <c r="W47" s="107"/>
    </row>
    <row r="48" spans="2:23" x14ac:dyDescent="0.2">
      <c r="B48" s="27" t="s">
        <v>30</v>
      </c>
      <c r="C48" s="27"/>
      <c r="D48" s="62" t="s">
        <v>21</v>
      </c>
      <c r="E48" s="63"/>
      <c r="F48" s="28">
        <f>'SC (1000)'!F48</f>
        <v>6.8999999999999999E-3</v>
      </c>
      <c r="G48" s="64">
        <f>F18*(1+F71)</f>
        <v>15502.500000000002</v>
      </c>
      <c r="H48" s="26">
        <f>G48*F48</f>
        <v>106.96725000000001</v>
      </c>
      <c r="I48" s="27"/>
      <c r="J48" s="28">
        <f>'SC (1000)'!J48</f>
        <v>6.7999999999999996E-3</v>
      </c>
      <c r="K48" s="65">
        <f>F18*(1+J71)</f>
        <v>15502.500000000002</v>
      </c>
      <c r="L48" s="26">
        <f>K48*J48</f>
        <v>105.417</v>
      </c>
      <c r="M48" s="27"/>
      <c r="N48" s="30">
        <f t="shared" si="13"/>
        <v>-1.5502500000000055</v>
      </c>
      <c r="O48" s="31">
        <f t="shared" si="12"/>
        <v>-1.4492753623188456E-2</v>
      </c>
      <c r="Q48" s="107"/>
      <c r="S48" s="107"/>
      <c r="U48" s="107"/>
      <c r="W48" s="107"/>
    </row>
    <row r="49" spans="2:23" ht="25.5" x14ac:dyDescent="0.2">
      <c r="B49" s="66" t="s">
        <v>31</v>
      </c>
      <c r="C49" s="27"/>
      <c r="D49" s="62" t="s">
        <v>21</v>
      </c>
      <c r="E49" s="63"/>
      <c r="F49" s="28">
        <f>'SC (1000)'!F49</f>
        <v>4.4999999999999997E-3</v>
      </c>
      <c r="G49" s="64">
        <f>G48</f>
        <v>15502.500000000002</v>
      </c>
      <c r="H49" s="26">
        <f>G49*F49</f>
        <v>69.761250000000004</v>
      </c>
      <c r="I49" s="27"/>
      <c r="J49" s="28">
        <f>'SC (1000)'!J49</f>
        <v>4.4999999999999997E-3</v>
      </c>
      <c r="K49" s="65">
        <f>K48</f>
        <v>15502.500000000002</v>
      </c>
      <c r="L49" s="26">
        <f>K49*J49</f>
        <v>69.761250000000004</v>
      </c>
      <c r="M49" s="27"/>
      <c r="N49" s="30">
        <f t="shared" si="13"/>
        <v>0</v>
      </c>
      <c r="O49" s="31">
        <f t="shared" si="12"/>
        <v>0</v>
      </c>
      <c r="Q49" s="107"/>
      <c r="S49" s="107"/>
      <c r="U49" s="107"/>
      <c r="W49" s="107"/>
    </row>
    <row r="50" spans="2:23" ht="25.5" x14ac:dyDescent="0.2">
      <c r="B50" s="56" t="s">
        <v>32</v>
      </c>
      <c r="C50" s="35"/>
      <c r="D50" s="35"/>
      <c r="E50" s="35"/>
      <c r="F50" s="67"/>
      <c r="G50" s="59"/>
      <c r="H50" s="60">
        <f>SUM(H47:H49)</f>
        <v>544.91712500000028</v>
      </c>
      <c r="I50" s="68"/>
      <c r="J50" s="69"/>
      <c r="K50" s="70"/>
      <c r="L50" s="60">
        <f>SUM(L47:L49)</f>
        <v>560.96690000000024</v>
      </c>
      <c r="M50" s="68"/>
      <c r="N50" s="43">
        <f t="shared" si="13"/>
        <v>16.049774999999954</v>
      </c>
      <c r="O50" s="44">
        <f t="shared" si="12"/>
        <v>2.9453607280189524E-2</v>
      </c>
      <c r="Q50" s="102"/>
      <c r="S50" s="102"/>
      <c r="U50" s="102"/>
      <c r="W50" s="102"/>
    </row>
    <row r="51" spans="2:23" ht="25.5" x14ac:dyDescent="0.2">
      <c r="B51" s="71" t="s">
        <v>33</v>
      </c>
      <c r="C51" s="21"/>
      <c r="D51" s="22" t="s">
        <v>21</v>
      </c>
      <c r="E51" s="23"/>
      <c r="F51" s="72">
        <f>'SC (1000)'!F51</f>
        <v>3.5999999999999999E-3</v>
      </c>
      <c r="G51" s="64">
        <f>G49</f>
        <v>15502.500000000002</v>
      </c>
      <c r="H51" s="73">
        <f t="shared" ref="H51:H58" si="14">G51*F51</f>
        <v>55.809000000000005</v>
      </c>
      <c r="I51" s="27"/>
      <c r="J51" s="72">
        <f>F51</f>
        <v>3.5999999999999999E-3</v>
      </c>
      <c r="K51" s="65">
        <f>K49</f>
        <v>15502.500000000002</v>
      </c>
      <c r="L51" s="73">
        <f t="shared" ref="L51:L58" si="15">K51*J51</f>
        <v>55.809000000000005</v>
      </c>
      <c r="M51" s="27"/>
      <c r="N51" s="30">
        <f t="shared" si="13"/>
        <v>0</v>
      </c>
      <c r="O51" s="74">
        <f t="shared" si="12"/>
        <v>0</v>
      </c>
      <c r="Q51" s="107"/>
      <c r="S51" s="107"/>
      <c r="U51" s="107"/>
      <c r="W51" s="107"/>
    </row>
    <row r="52" spans="2:23" ht="25.5" x14ac:dyDescent="0.2">
      <c r="B52" s="71" t="s">
        <v>34</v>
      </c>
      <c r="C52" s="21"/>
      <c r="D52" s="22" t="s">
        <v>21</v>
      </c>
      <c r="E52" s="23"/>
      <c r="F52" s="72">
        <f>'SC (1000)'!F52</f>
        <v>1.2999999999999999E-3</v>
      </c>
      <c r="G52" s="64">
        <f>G49</f>
        <v>15502.500000000002</v>
      </c>
      <c r="H52" s="73">
        <f t="shared" si="14"/>
        <v>20.15325</v>
      </c>
      <c r="I52" s="27"/>
      <c r="J52" s="72">
        <f>F52</f>
        <v>1.2999999999999999E-3</v>
      </c>
      <c r="K52" s="65">
        <f>K49</f>
        <v>15502.500000000002</v>
      </c>
      <c r="L52" s="73">
        <f t="shared" si="15"/>
        <v>20.15325</v>
      </c>
      <c r="M52" s="27"/>
      <c r="N52" s="30">
        <f t="shared" si="13"/>
        <v>0</v>
      </c>
      <c r="O52" s="74">
        <f t="shared" si="12"/>
        <v>0</v>
      </c>
      <c r="Q52" s="107"/>
      <c r="S52" s="107"/>
      <c r="U52" s="107"/>
      <c r="W52" s="107"/>
    </row>
    <row r="53" spans="2:23" x14ac:dyDescent="0.2">
      <c r="B53" s="21" t="s">
        <v>35</v>
      </c>
      <c r="C53" s="21"/>
      <c r="D53" s="22" t="s">
        <v>18</v>
      </c>
      <c r="E53" s="23"/>
      <c r="F53" s="72">
        <v>0.25</v>
      </c>
      <c r="G53" s="25">
        <v>1</v>
      </c>
      <c r="H53" s="73">
        <f t="shared" si="14"/>
        <v>0.25</v>
      </c>
      <c r="I53" s="27"/>
      <c r="J53" s="72">
        <f>'SC (1000)'!J53</f>
        <v>0.25</v>
      </c>
      <c r="K53" s="29">
        <v>1</v>
      </c>
      <c r="L53" s="73">
        <f t="shared" si="15"/>
        <v>0.25</v>
      </c>
      <c r="M53" s="27"/>
      <c r="N53" s="30">
        <f t="shared" si="13"/>
        <v>0</v>
      </c>
      <c r="O53" s="74">
        <f t="shared" si="12"/>
        <v>0</v>
      </c>
      <c r="Q53" s="107"/>
      <c r="S53" s="107"/>
      <c r="U53" s="107"/>
      <c r="W53" s="107"/>
    </row>
    <row r="54" spans="2:23" x14ac:dyDescent="0.2">
      <c r="B54" s="21" t="s">
        <v>122</v>
      </c>
      <c r="C54" s="21"/>
      <c r="D54" s="22"/>
      <c r="E54" s="23"/>
      <c r="F54" s="72">
        <f>'Proposed Rates'!D221</f>
        <v>1.1000000000000001E-3</v>
      </c>
      <c r="G54" s="75">
        <f>$F$18*(1+F71)</f>
        <v>15502.500000000002</v>
      </c>
      <c r="H54" s="73">
        <f>G54*F54</f>
        <v>17.052750000000003</v>
      </c>
      <c r="I54" s="27"/>
      <c r="J54" s="72">
        <f>F54</f>
        <v>1.1000000000000001E-3</v>
      </c>
      <c r="K54" s="75">
        <f>$F$18*(1+J71)</f>
        <v>15502.500000000002</v>
      </c>
      <c r="L54" s="73">
        <f>K54*J54</f>
        <v>17.052750000000003</v>
      </c>
      <c r="M54" s="27"/>
      <c r="N54" s="30"/>
      <c r="O54" s="74"/>
      <c r="Q54" s="107"/>
      <c r="S54" s="107"/>
      <c r="U54" s="107"/>
      <c r="W54" s="107"/>
    </row>
    <row r="55" spans="2:23" x14ac:dyDescent="0.2">
      <c r="B55" s="21" t="s">
        <v>36</v>
      </c>
      <c r="C55" s="21"/>
      <c r="D55" s="22"/>
      <c r="E55" s="23"/>
      <c r="F55" s="72">
        <f>'SC (1000)'!F55</f>
        <v>6.94E-3</v>
      </c>
      <c r="G55" s="75">
        <f>$F$18</f>
        <v>15000</v>
      </c>
      <c r="H55" s="73">
        <f t="shared" si="14"/>
        <v>104.1</v>
      </c>
      <c r="I55" s="27"/>
      <c r="J55" s="72">
        <f>+F55</f>
        <v>6.94E-3</v>
      </c>
      <c r="K55" s="76">
        <f>$F$18</f>
        <v>15000</v>
      </c>
      <c r="L55" s="73">
        <f t="shared" si="15"/>
        <v>104.1</v>
      </c>
      <c r="M55" s="27"/>
      <c r="N55" s="30">
        <f t="shared" si="13"/>
        <v>0</v>
      </c>
      <c r="O55" s="74">
        <f t="shared" si="12"/>
        <v>0</v>
      </c>
      <c r="Q55" s="107"/>
      <c r="S55" s="107"/>
      <c r="U55" s="107"/>
      <c r="W55" s="107"/>
    </row>
    <row r="56" spans="2:23" x14ac:dyDescent="0.2">
      <c r="B56" s="49" t="s">
        <v>37</v>
      </c>
      <c r="C56" s="21"/>
      <c r="D56" s="22"/>
      <c r="E56" s="23"/>
      <c r="F56" s="72">
        <f>'SC (1000)'!F56</f>
        <v>8.6999999999999994E-2</v>
      </c>
      <c r="G56" s="77">
        <f>0.65*$F$18</f>
        <v>9750</v>
      </c>
      <c r="H56" s="73">
        <f t="shared" si="14"/>
        <v>848.24999999999989</v>
      </c>
      <c r="I56" s="27"/>
      <c r="J56" s="72">
        <f>F56</f>
        <v>8.6999999999999994E-2</v>
      </c>
      <c r="K56" s="77">
        <f>$G$56</f>
        <v>9750</v>
      </c>
      <c r="L56" s="73">
        <f t="shared" si="15"/>
        <v>848.24999999999989</v>
      </c>
      <c r="M56" s="27"/>
      <c r="N56" s="30">
        <f t="shared" si="13"/>
        <v>0</v>
      </c>
      <c r="O56" s="74">
        <f t="shared" si="12"/>
        <v>0</v>
      </c>
      <c r="Q56" s="107"/>
      <c r="S56" s="107"/>
      <c r="U56" s="107"/>
      <c r="W56" s="107"/>
    </row>
    <row r="57" spans="2:23" x14ac:dyDescent="0.2">
      <c r="B57" s="49" t="s">
        <v>38</v>
      </c>
      <c r="C57" s="21"/>
      <c r="D57" s="22"/>
      <c r="E57" s="23"/>
      <c r="F57" s="72">
        <f>'SC (1000)'!F57</f>
        <v>0.13200000000000001</v>
      </c>
      <c r="G57" s="77">
        <f>0.17*$F$18</f>
        <v>2550</v>
      </c>
      <c r="H57" s="73">
        <f t="shared" si="14"/>
        <v>336.6</v>
      </c>
      <c r="I57" s="27"/>
      <c r="J57" s="72">
        <f>F57</f>
        <v>0.13200000000000001</v>
      </c>
      <c r="K57" s="77">
        <f>$G$57</f>
        <v>2550</v>
      </c>
      <c r="L57" s="73">
        <f t="shared" si="15"/>
        <v>336.6</v>
      </c>
      <c r="M57" s="27"/>
      <c r="N57" s="30">
        <f t="shared" si="13"/>
        <v>0</v>
      </c>
      <c r="O57" s="74">
        <f t="shared" si="12"/>
        <v>0</v>
      </c>
      <c r="Q57" s="107"/>
      <c r="S57" s="107"/>
      <c r="U57" s="107"/>
      <c r="W57" s="107"/>
    </row>
    <row r="58" spans="2:23" x14ac:dyDescent="0.2">
      <c r="B58" s="11" t="s">
        <v>39</v>
      </c>
      <c r="C58" s="21"/>
      <c r="D58" s="22"/>
      <c r="E58" s="23"/>
      <c r="F58" s="72">
        <f>'SC (1000)'!F58</f>
        <v>0.18</v>
      </c>
      <c r="G58" s="77">
        <f>0.18*$F$18</f>
        <v>2700</v>
      </c>
      <c r="H58" s="73">
        <f t="shared" si="14"/>
        <v>486</v>
      </c>
      <c r="I58" s="27"/>
      <c r="J58" s="72">
        <f>F58</f>
        <v>0.18</v>
      </c>
      <c r="K58" s="77">
        <f>$G$58</f>
        <v>2700</v>
      </c>
      <c r="L58" s="73">
        <f t="shared" si="15"/>
        <v>486</v>
      </c>
      <c r="M58" s="27"/>
      <c r="N58" s="30">
        <f t="shared" si="13"/>
        <v>0</v>
      </c>
      <c r="O58" s="74">
        <f t="shared" si="12"/>
        <v>0</v>
      </c>
      <c r="Q58" s="107"/>
      <c r="S58" s="107"/>
      <c r="U58" s="107"/>
      <c r="W58" s="107"/>
    </row>
    <row r="59" spans="2:23" s="85" customFormat="1" x14ac:dyDescent="0.2">
      <c r="B59" s="78" t="s">
        <v>40</v>
      </c>
      <c r="C59" s="79"/>
      <c r="D59" s="80"/>
      <c r="E59" s="81"/>
      <c r="F59" s="72">
        <f>'SC (1000)'!F59</f>
        <v>0.10299999999999999</v>
      </c>
      <c r="G59" s="82">
        <v>750</v>
      </c>
      <c r="H59" s="73">
        <f>G59*F59</f>
        <v>77.25</v>
      </c>
      <c r="I59" s="83"/>
      <c r="J59" s="72">
        <f>F59</f>
        <v>0.10299999999999999</v>
      </c>
      <c r="K59" s="82">
        <f>$G$59</f>
        <v>750</v>
      </c>
      <c r="L59" s="73">
        <f>K59*J59</f>
        <v>77.25</v>
      </c>
      <c r="M59" s="83"/>
      <c r="N59" s="84">
        <f t="shared" si="13"/>
        <v>0</v>
      </c>
      <c r="O59" s="74">
        <f t="shared" si="12"/>
        <v>0</v>
      </c>
      <c r="Q59" s="143"/>
      <c r="R59" s="212"/>
      <c r="S59" s="143"/>
      <c r="T59" s="212"/>
      <c r="U59" s="143"/>
      <c r="V59" s="212"/>
      <c r="W59" s="143"/>
    </row>
    <row r="60" spans="2:23" s="85" customFormat="1" ht="13.5" thickBot="1" x14ac:dyDescent="0.25">
      <c r="B60" s="78" t="s">
        <v>41</v>
      </c>
      <c r="C60" s="79"/>
      <c r="D60" s="80"/>
      <c r="E60" s="81"/>
      <c r="F60" s="72">
        <f>'SC (1000)'!F60</f>
        <v>0.121</v>
      </c>
      <c r="G60" s="82">
        <f>F18-G59</f>
        <v>14250</v>
      </c>
      <c r="H60" s="73">
        <f>G60*F60</f>
        <v>1724.25</v>
      </c>
      <c r="I60" s="83"/>
      <c r="J60" s="72">
        <f>F60</f>
        <v>0.121</v>
      </c>
      <c r="K60" s="82">
        <f>$G$60</f>
        <v>14250</v>
      </c>
      <c r="L60" s="73">
        <f>K60*J60</f>
        <v>1724.25</v>
      </c>
      <c r="M60" s="83"/>
      <c r="N60" s="84">
        <f t="shared" si="13"/>
        <v>0</v>
      </c>
      <c r="O60" s="74">
        <f t="shared" si="12"/>
        <v>0</v>
      </c>
      <c r="Q60" s="143"/>
      <c r="R60" s="212"/>
      <c r="S60" s="143"/>
      <c r="T60" s="212"/>
      <c r="U60" s="143"/>
      <c r="V60" s="212"/>
      <c r="W60" s="143"/>
    </row>
    <row r="61" spans="2:23" ht="8.25" customHeight="1" thickBot="1" x14ac:dyDescent="0.25">
      <c r="B61" s="86"/>
      <c r="C61" s="87"/>
      <c r="D61" s="88"/>
      <c r="E61" s="87"/>
      <c r="F61" s="89"/>
      <c r="G61" s="90"/>
      <c r="H61" s="91"/>
      <c r="I61" s="92"/>
      <c r="J61" s="89"/>
      <c r="K61" s="93"/>
      <c r="L61" s="91"/>
      <c r="M61" s="92"/>
      <c r="N61" s="94"/>
      <c r="O61" s="95"/>
      <c r="Q61" s="107"/>
      <c r="S61" s="107"/>
      <c r="U61" s="107"/>
      <c r="W61" s="107"/>
    </row>
    <row r="62" spans="2:23" x14ac:dyDescent="0.2">
      <c r="B62" s="96" t="s">
        <v>42</v>
      </c>
      <c r="C62" s="21"/>
      <c r="D62" s="21"/>
      <c r="E62" s="21"/>
      <c r="F62" s="97"/>
      <c r="G62" s="98"/>
      <c r="H62" s="99">
        <f>SUM(H51:H58,H50)</f>
        <v>2413.1321250000001</v>
      </c>
      <c r="I62" s="100"/>
      <c r="J62" s="101"/>
      <c r="K62" s="101"/>
      <c r="L62" s="103">
        <f>SUM(L51:L58,L50)</f>
        <v>2429.1819</v>
      </c>
      <c r="M62" s="102"/>
      <c r="N62" s="103">
        <f t="shared" ref="N62" si="16">L62-H62</f>
        <v>16.049774999999954</v>
      </c>
      <c r="O62" s="104">
        <f t="shared" ref="O62" si="17">IF((H62)=0,"",(N62/H62))</f>
        <v>6.6510137732304873E-3</v>
      </c>
      <c r="Q62" s="102"/>
      <c r="S62" s="102"/>
      <c r="U62" s="102"/>
      <c r="W62" s="102"/>
    </row>
    <row r="63" spans="2:23" x14ac:dyDescent="0.2">
      <c r="B63" s="105" t="s">
        <v>43</v>
      </c>
      <c r="C63" s="21"/>
      <c r="D63" s="21"/>
      <c r="E63" s="21"/>
      <c r="F63" s="106">
        <v>0.13</v>
      </c>
      <c r="G63" s="107"/>
      <c r="H63" s="108">
        <f>H62*F63</f>
        <v>313.70717625000003</v>
      </c>
      <c r="I63" s="109"/>
      <c r="J63" s="110">
        <v>0.13</v>
      </c>
      <c r="K63" s="109"/>
      <c r="L63" s="111">
        <f>L62*J63</f>
        <v>315.79364700000002</v>
      </c>
      <c r="M63" s="112"/>
      <c r="N63" s="113">
        <f t="shared" si="13"/>
        <v>2.0864707499999895</v>
      </c>
      <c r="O63" s="114">
        <f t="shared" si="12"/>
        <v>6.6510137732304726E-3</v>
      </c>
      <c r="Q63" s="112"/>
      <c r="S63" s="112"/>
      <c r="U63" s="112"/>
      <c r="W63" s="112"/>
    </row>
    <row r="64" spans="2:23" ht="13.5" thickBot="1" x14ac:dyDescent="0.25">
      <c r="B64" s="115" t="s">
        <v>44</v>
      </c>
      <c r="C64" s="21"/>
      <c r="D64" s="21"/>
      <c r="E64" s="21"/>
      <c r="F64" s="116"/>
      <c r="G64" s="107"/>
      <c r="H64" s="99">
        <f>H62+H63</f>
        <v>2726.8393012500001</v>
      </c>
      <c r="I64" s="109"/>
      <c r="J64" s="109"/>
      <c r="K64" s="109"/>
      <c r="L64" s="220">
        <f>L62+L63</f>
        <v>2744.975547</v>
      </c>
      <c r="M64" s="112"/>
      <c r="N64" s="103">
        <f t="shared" si="13"/>
        <v>18.136245749999944</v>
      </c>
      <c r="O64" s="104">
        <f t="shared" si="12"/>
        <v>6.6510137732304856E-3</v>
      </c>
      <c r="Q64" s="112"/>
      <c r="S64" s="112"/>
      <c r="U64" s="112"/>
      <c r="W64" s="112"/>
    </row>
    <row r="65" spans="1:23" s="85" customFormat="1" ht="8.25" customHeight="1" thickBot="1" x14ac:dyDescent="0.25">
      <c r="B65" s="117"/>
      <c r="C65" s="118"/>
      <c r="D65" s="119"/>
      <c r="E65" s="118"/>
      <c r="F65" s="89"/>
      <c r="G65" s="120"/>
      <c r="H65" s="91"/>
      <c r="I65" s="121"/>
      <c r="J65" s="89"/>
      <c r="K65" s="122"/>
      <c r="L65" s="221"/>
      <c r="M65" s="121"/>
      <c r="N65" s="123"/>
      <c r="O65" s="95"/>
      <c r="Q65" s="143"/>
      <c r="R65" s="212"/>
      <c r="S65" s="143"/>
      <c r="T65" s="212"/>
      <c r="U65" s="143"/>
      <c r="V65" s="212"/>
      <c r="W65" s="143"/>
    </row>
    <row r="66" spans="1:23" s="85" customFormat="1" x14ac:dyDescent="0.2">
      <c r="B66" s="124" t="s">
        <v>45</v>
      </c>
      <c r="C66" s="79"/>
      <c r="D66" s="79"/>
      <c r="E66" s="79"/>
      <c r="F66" s="125"/>
      <c r="G66" s="126"/>
      <c r="H66" s="127">
        <f>SUM(H59:H60,H50,H51:H55)</f>
        <v>2543.7821250000002</v>
      </c>
      <c r="I66" s="128"/>
      <c r="J66" s="129"/>
      <c r="K66" s="129"/>
      <c r="L66" s="131">
        <f>SUM(L59:L60,L50,L51:L55)</f>
        <v>2559.8319000000001</v>
      </c>
      <c r="M66" s="130"/>
      <c r="N66" s="131">
        <f t="shared" ref="N66:N68" si="18">L66-H66</f>
        <v>16.049774999999954</v>
      </c>
      <c r="O66" s="104">
        <f t="shared" ref="O66:O68" si="19">IF((H66)=0,"",(N66/H66))</f>
        <v>6.3094141759487176E-3</v>
      </c>
      <c r="Q66" s="130"/>
      <c r="R66" s="212"/>
      <c r="S66" s="130"/>
      <c r="T66" s="212"/>
      <c r="U66" s="130"/>
      <c r="V66" s="212"/>
      <c r="W66" s="130"/>
    </row>
    <row r="67" spans="1:23" s="85" customFormat="1" x14ac:dyDescent="0.2">
      <c r="B67" s="132" t="s">
        <v>43</v>
      </c>
      <c r="C67" s="79"/>
      <c r="D67" s="79"/>
      <c r="E67" s="79"/>
      <c r="F67" s="133">
        <v>0.13</v>
      </c>
      <c r="G67" s="126"/>
      <c r="H67" s="134">
        <f>H66*F67</f>
        <v>330.69167625000006</v>
      </c>
      <c r="I67" s="135"/>
      <c r="J67" s="136">
        <v>0.13</v>
      </c>
      <c r="K67" s="137"/>
      <c r="L67" s="140">
        <f>L66*J67</f>
        <v>332.77814700000005</v>
      </c>
      <c r="M67" s="139"/>
      <c r="N67" s="140">
        <f t="shared" si="18"/>
        <v>2.0864707499999895</v>
      </c>
      <c r="O67" s="114">
        <f t="shared" si="19"/>
        <v>6.3094141759487037E-3</v>
      </c>
      <c r="Q67" s="139"/>
      <c r="R67" s="212"/>
      <c r="S67" s="139"/>
      <c r="T67" s="212"/>
      <c r="U67" s="139"/>
      <c r="V67" s="212"/>
      <c r="W67" s="139"/>
    </row>
    <row r="68" spans="1:23" s="85" customFormat="1" ht="13.5" thickBot="1" x14ac:dyDescent="0.25">
      <c r="B68" s="141" t="s">
        <v>44</v>
      </c>
      <c r="C68" s="79"/>
      <c r="D68" s="79"/>
      <c r="E68" s="79"/>
      <c r="F68" s="142"/>
      <c r="G68" s="143"/>
      <c r="H68" s="127">
        <f>H66+H67</f>
        <v>2874.4738012500002</v>
      </c>
      <c r="I68" s="135"/>
      <c r="J68" s="135"/>
      <c r="K68" s="135"/>
      <c r="L68" s="219">
        <f>L66+L67</f>
        <v>2892.6100470000001</v>
      </c>
      <c r="M68" s="139"/>
      <c r="N68" s="131">
        <f t="shared" si="18"/>
        <v>18.136245749999944</v>
      </c>
      <c r="O68" s="104">
        <f t="shared" si="19"/>
        <v>6.3094141759487158E-3</v>
      </c>
      <c r="Q68" s="139"/>
      <c r="R68" s="212"/>
      <c r="S68" s="139"/>
      <c r="T68" s="212"/>
      <c r="U68" s="139"/>
      <c r="V68" s="212"/>
      <c r="W68" s="139"/>
    </row>
    <row r="69" spans="1:23" s="85" customFormat="1" ht="8.25" customHeight="1" thickBot="1" x14ac:dyDescent="0.25">
      <c r="B69" s="117"/>
      <c r="C69" s="118"/>
      <c r="D69" s="119"/>
      <c r="E69" s="118"/>
      <c r="F69" s="144"/>
      <c r="G69" s="145"/>
      <c r="H69" s="146"/>
      <c r="I69" s="147"/>
      <c r="J69" s="144"/>
      <c r="K69" s="120"/>
      <c r="L69" s="148"/>
      <c r="M69" s="121"/>
      <c r="N69" s="149"/>
      <c r="O69" s="95"/>
      <c r="Q69" s="143"/>
      <c r="R69" s="212"/>
      <c r="S69" s="143"/>
      <c r="T69" s="212"/>
      <c r="U69" s="143"/>
      <c r="V69" s="212"/>
      <c r="W69" s="143"/>
    </row>
    <row r="70" spans="1:23" x14ac:dyDescent="0.2">
      <c r="L70" s="150"/>
    </row>
    <row r="71" spans="1:23" x14ac:dyDescent="0.2">
      <c r="B71" s="12" t="s">
        <v>46</v>
      </c>
      <c r="F71" s="151">
        <f>'SC (1000)'!F71</f>
        <v>3.3500000000000002E-2</v>
      </c>
      <c r="J71" s="151">
        <f>+'Res (100)'!J70</f>
        <v>3.3500000000000002E-2</v>
      </c>
    </row>
    <row r="73" spans="1:23" ht="13.5" customHeight="1" x14ac:dyDescent="0.2">
      <c r="Q73" s="210"/>
      <c r="R73" s="210"/>
      <c r="S73" s="6"/>
      <c r="T73" s="6"/>
      <c r="U73" s="6"/>
      <c r="V73" s="6"/>
      <c r="W73" s="6"/>
    </row>
    <row r="74" spans="1:23" ht="12" customHeight="1" x14ac:dyDescent="0.2">
      <c r="A74" s="6" t="s">
        <v>47</v>
      </c>
      <c r="Q74" s="210"/>
      <c r="R74" s="210"/>
      <c r="S74" s="6"/>
      <c r="T74" s="6"/>
      <c r="U74" s="6"/>
      <c r="V74" s="6"/>
      <c r="W74" s="6"/>
    </row>
    <row r="75" spans="1:23" x14ac:dyDescent="0.2">
      <c r="A75" s="6" t="s">
        <v>48</v>
      </c>
      <c r="Q75" s="210"/>
      <c r="R75" s="210"/>
      <c r="S75" s="6"/>
      <c r="T75" s="6"/>
      <c r="U75" s="6"/>
      <c r="V75" s="6"/>
      <c r="W75" s="6"/>
    </row>
    <row r="76" spans="1:23" x14ac:dyDescent="0.2">
      <c r="Q76" s="210"/>
      <c r="R76" s="210"/>
      <c r="S76" s="6"/>
      <c r="T76" s="6"/>
      <c r="U76" s="6"/>
      <c r="V76" s="6"/>
      <c r="W76" s="6"/>
    </row>
    <row r="77" spans="1:23" x14ac:dyDescent="0.2">
      <c r="A77" s="153" t="s">
        <v>136</v>
      </c>
      <c r="Q77" s="210"/>
      <c r="R77" s="210"/>
      <c r="S77" s="6"/>
      <c r="T77" s="6"/>
      <c r="U77" s="6"/>
      <c r="V77" s="6"/>
      <c r="W77" s="6"/>
    </row>
    <row r="78" spans="1:23" x14ac:dyDescent="0.2">
      <c r="A78" s="11" t="s">
        <v>49</v>
      </c>
      <c r="Q78" s="210"/>
      <c r="R78" s="210"/>
      <c r="S78" s="6"/>
      <c r="T78" s="6"/>
      <c r="U78" s="6"/>
      <c r="V78" s="6"/>
      <c r="W78" s="6"/>
    </row>
    <row r="79" spans="1:23" x14ac:dyDescent="0.2">
      <c r="Q79" s="210"/>
      <c r="R79" s="210"/>
      <c r="S79" s="6"/>
      <c r="T79" s="6"/>
      <c r="U79" s="6"/>
      <c r="V79" s="6"/>
      <c r="W79" s="6"/>
    </row>
    <row r="80" spans="1:23" x14ac:dyDescent="0.2">
      <c r="A80" s="6" t="s">
        <v>135</v>
      </c>
      <c r="Q80" s="210"/>
      <c r="R80" s="210"/>
      <c r="S80" s="6"/>
      <c r="T80" s="6"/>
      <c r="U80" s="6"/>
      <c r="V80" s="6"/>
      <c r="W80" s="6"/>
    </row>
    <row r="81" spans="1:23" x14ac:dyDescent="0.2">
      <c r="A81" s="6" t="s">
        <v>50</v>
      </c>
      <c r="Q81" s="210"/>
      <c r="R81" s="210"/>
      <c r="S81" s="6"/>
      <c r="T81" s="6"/>
      <c r="U81" s="6"/>
      <c r="V81" s="6"/>
      <c r="W81" s="6"/>
    </row>
    <row r="82" spans="1:23" x14ac:dyDescent="0.2">
      <c r="A82" s="6" t="s">
        <v>51</v>
      </c>
      <c r="Q82" s="210"/>
      <c r="R82" s="210"/>
      <c r="S82" s="6"/>
      <c r="T82" s="6"/>
      <c r="U82" s="6"/>
      <c r="V82" s="6"/>
      <c r="W82" s="6"/>
    </row>
    <row r="83" spans="1:23" x14ac:dyDescent="0.2">
      <c r="A83" s="6" t="s">
        <v>52</v>
      </c>
      <c r="Q83" s="210"/>
      <c r="R83" s="210"/>
      <c r="S83" s="6"/>
      <c r="T83" s="6"/>
      <c r="U83" s="6"/>
      <c r="V83" s="6"/>
      <c r="W83" s="6"/>
    </row>
    <row r="84" spans="1:23" x14ac:dyDescent="0.2">
      <c r="A84" s="6" t="s">
        <v>53</v>
      </c>
      <c r="Q84" s="210"/>
      <c r="R84" s="210"/>
      <c r="S84" s="6"/>
      <c r="T84" s="6"/>
      <c r="U84" s="6"/>
      <c r="V84" s="6"/>
      <c r="W84" s="6"/>
    </row>
    <row r="85" spans="1:23" x14ac:dyDescent="0.2">
      <c r="Q85" s="210"/>
      <c r="R85" s="210"/>
      <c r="S85" s="6"/>
      <c r="T85" s="6"/>
      <c r="U85" s="6"/>
      <c r="V85" s="6"/>
      <c r="W85" s="6"/>
    </row>
    <row r="86" spans="1:23" x14ac:dyDescent="0.2">
      <c r="A86" s="152"/>
      <c r="B86" s="6" t="s">
        <v>54</v>
      </c>
      <c r="Q86" s="210"/>
      <c r="R86" s="210"/>
      <c r="S86" s="6"/>
      <c r="T86" s="6"/>
      <c r="U86" s="6"/>
      <c r="V86" s="6"/>
      <c r="W86" s="6"/>
    </row>
    <row r="87" spans="1:23" x14ac:dyDescent="0.2">
      <c r="Q87" s="210"/>
      <c r="R87" s="210"/>
      <c r="S87" s="6"/>
      <c r="T87" s="6"/>
      <c r="U87" s="6"/>
      <c r="V87" s="6"/>
      <c r="W87" s="6"/>
    </row>
    <row r="88" spans="1:23" x14ac:dyDescent="0.2">
      <c r="B88" s="153" t="s">
        <v>55</v>
      </c>
      <c r="Q88" s="210"/>
      <c r="R88" s="210"/>
      <c r="S88" s="6"/>
      <c r="T88" s="6"/>
      <c r="U88" s="6"/>
      <c r="V88" s="6"/>
      <c r="W88" s="6"/>
    </row>
  </sheetData>
  <sheetProtection selectLockedCells="1"/>
  <mergeCells count="8">
    <mergeCell ref="N21:N22"/>
    <mergeCell ref="O21:O22"/>
    <mergeCell ref="A3:K3"/>
    <mergeCell ref="D14:O14"/>
    <mergeCell ref="F20:H20"/>
    <mergeCell ref="J20:L20"/>
    <mergeCell ref="N20:O20"/>
    <mergeCell ref="D21:D22"/>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69 D65 D23:D38 D51:D61 D48:D49 D40:D46">
      <formula1>"Monthly, per kWh, per kW"</formula1>
    </dataValidation>
    <dataValidation type="list" allowBlank="1" showInputMessage="1" showErrorMessage="1" sqref="E48:E49 E69 E65 E51:E61 E23:E38 E40:E46">
      <formula1>#REF!</formula1>
    </dataValidation>
  </dataValidations>
  <pageMargins left="0.74803149606299213" right="0.74803149606299213" top="0.98425196850393704" bottom="0.98425196850393704" header="0.51181102362204722" footer="0.51181102362204722"/>
  <pageSetup scale="60" fitToWidth="2"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Option Button 1">
              <controlPr defaultSize="0" autoFill="0" autoLine="0" autoPict="0">
                <anchor moveWithCells="1">
                  <from>
                    <xdr:col>6</xdr:col>
                    <xdr:colOff>466725</xdr:colOff>
                    <xdr:row>16</xdr:row>
                    <xdr:rowOff>190500</xdr:rowOff>
                  </from>
                  <to>
                    <xdr:col>9</xdr:col>
                    <xdr:colOff>381000</xdr:colOff>
                    <xdr:row>18</xdr:row>
                    <xdr:rowOff>47625</xdr:rowOff>
                  </to>
                </anchor>
              </controlPr>
            </control>
          </mc:Choice>
        </mc:AlternateContent>
        <mc:AlternateContent xmlns:mc="http://schemas.openxmlformats.org/markup-compatibility/2006">
          <mc:Choice Requires="x14">
            <control shapeId="31746" r:id="rId5" name="Option Button 2">
              <controlPr defaultSize="0" autoFill="0" autoLine="0" autoPict="0">
                <anchor moveWithCells="1">
                  <from>
                    <xdr:col>9</xdr:col>
                    <xdr:colOff>352425</xdr:colOff>
                    <xdr:row>16</xdr:row>
                    <xdr:rowOff>133350</xdr:rowOff>
                  </from>
                  <to>
                    <xdr:col>15</xdr:col>
                    <xdr:colOff>19050</xdr:colOff>
                    <xdr:row>18</xdr:row>
                    <xdr:rowOff>152400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89"/>
  <sheetViews>
    <sheetView showGridLines="0" view="pageBreakPreview" zoomScale="70" zoomScaleNormal="85" zoomScaleSheetLayoutView="70" workbookViewId="0">
      <selection activeCell="L40" sqref="L40"/>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9.85546875" style="6" bestFit="1" customWidth="1"/>
    <col min="8" max="8" width="15.140625" style="6" bestFit="1" customWidth="1"/>
    <col min="9" max="9" width="2.85546875" style="6" customWidth="1"/>
    <col min="10" max="10" width="12.7109375" style="6" bestFit="1" customWidth="1"/>
    <col min="11" max="11" width="9.85546875" style="6" bestFit="1" customWidth="1"/>
    <col min="12" max="12" width="16.85546875" style="6" bestFit="1" customWidth="1"/>
    <col min="13" max="13" width="2.85546875" style="6" customWidth="1"/>
    <col min="14" max="14" width="16.5703125" style="6" bestFit="1" customWidth="1"/>
    <col min="15" max="15" width="12.7109375"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85546875" style="21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57</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f>51100*1</f>
        <v>51100</v>
      </c>
      <c r="G18" s="12" t="s">
        <v>6</v>
      </c>
    </row>
    <row r="19" spans="2:23" x14ac:dyDescent="0.2">
      <c r="B19" s="11"/>
      <c r="F19" s="13">
        <v>50</v>
      </c>
      <c r="G19" s="6" t="s">
        <v>58</v>
      </c>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'Proposed Rates'!D9</f>
        <v>200</v>
      </c>
      <c r="G23" s="25">
        <v>1</v>
      </c>
      <c r="H23" s="26">
        <f>G23*F23</f>
        <v>200</v>
      </c>
      <c r="I23" s="27"/>
      <c r="J23" s="28">
        <f>+'Proposed Rates'!E9</f>
        <v>200</v>
      </c>
      <c r="K23" s="29">
        <v>1</v>
      </c>
      <c r="L23" s="26">
        <f>K23*J23</f>
        <v>200</v>
      </c>
      <c r="M23" s="27"/>
      <c r="N23" s="30">
        <f>L23-H23</f>
        <v>0</v>
      </c>
      <c r="O23" s="31">
        <f>IF((H23)=0,"",(N23/H23))</f>
        <v>0</v>
      </c>
      <c r="Q23" s="107"/>
      <c r="S23" s="107"/>
      <c r="U23" s="107"/>
      <c r="W23" s="107"/>
    </row>
    <row r="24" spans="2:23" x14ac:dyDescent="0.2">
      <c r="B24" s="21" t="s">
        <v>19</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
      <c r="B29" s="21" t="s">
        <v>20</v>
      </c>
      <c r="C29" s="21"/>
      <c r="D29" s="22" t="s">
        <v>59</v>
      </c>
      <c r="E29" s="23"/>
      <c r="F29" s="24">
        <f>'Proposed Rates'!D22</f>
        <v>4.0705999999999998</v>
      </c>
      <c r="G29" s="51">
        <f>+$F$19</f>
        <v>50</v>
      </c>
      <c r="H29" s="26">
        <f t="shared" si="0"/>
        <v>203.53</v>
      </c>
      <c r="I29" s="27"/>
      <c r="J29" s="28">
        <f>+'Proposed Rates'!E22</f>
        <v>4.3244999999999996</v>
      </c>
      <c r="K29" s="51">
        <f>+$F$19</f>
        <v>50</v>
      </c>
      <c r="L29" s="26">
        <f t="shared" si="1"/>
        <v>216.22499999999997</v>
      </c>
      <c r="M29" s="27"/>
      <c r="N29" s="30">
        <f t="shared" si="2"/>
        <v>12.694999999999965</v>
      </c>
      <c r="O29" s="31">
        <f t="shared" si="3"/>
        <v>6.2374097184690044E-2</v>
      </c>
      <c r="Q29" s="107"/>
      <c r="S29" s="107"/>
      <c r="U29" s="107"/>
      <c r="W29" s="107"/>
    </row>
    <row r="30" spans="2:23" x14ac:dyDescent="0.2">
      <c r="B30" s="21" t="s">
        <v>22</v>
      </c>
      <c r="C30" s="21"/>
      <c r="D30" s="22"/>
      <c r="E30" s="23"/>
      <c r="F30" s="24"/>
      <c r="G30" s="25">
        <f t="shared" ref="G30" si="4">$F$18</f>
        <v>51100</v>
      </c>
      <c r="H30" s="26">
        <f t="shared" si="0"/>
        <v>0</v>
      </c>
      <c r="I30" s="27"/>
      <c r="J30" s="28"/>
      <c r="K30" s="25">
        <f t="shared" ref="K30:K38" si="5">$F$18</f>
        <v>51100</v>
      </c>
      <c r="L30" s="26">
        <f t="shared" si="1"/>
        <v>0</v>
      </c>
      <c r="M30" s="27"/>
      <c r="N30" s="30">
        <f t="shared" si="2"/>
        <v>0</v>
      </c>
      <c r="O30" s="31" t="str">
        <f t="shared" si="3"/>
        <v/>
      </c>
      <c r="Q30" s="107"/>
      <c r="S30" s="107"/>
      <c r="U30" s="107"/>
      <c r="W30" s="107"/>
    </row>
    <row r="31" spans="2:23" x14ac:dyDescent="0.2">
      <c r="B31" s="21" t="s">
        <v>23</v>
      </c>
      <c r="C31" s="21"/>
      <c r="D31" s="22" t="s">
        <v>59</v>
      </c>
      <c r="E31" s="23"/>
      <c r="F31" s="24">
        <f>'Proposed Rates'!D69</f>
        <v>-7.7109999999999998E-2</v>
      </c>
      <c r="G31" s="51">
        <f>+$F$19</f>
        <v>50</v>
      </c>
      <c r="H31" s="26">
        <f t="shared" si="0"/>
        <v>-3.8554999999999997</v>
      </c>
      <c r="I31" s="27"/>
      <c r="J31" s="28">
        <f>+'Proposed Rates'!E69</f>
        <v>0</v>
      </c>
      <c r="K31" s="51">
        <f>+$F$19</f>
        <v>50</v>
      </c>
      <c r="L31" s="26">
        <f t="shared" si="1"/>
        <v>0</v>
      </c>
      <c r="M31" s="27"/>
      <c r="N31" s="30">
        <f t="shared" si="2"/>
        <v>3.8554999999999997</v>
      </c>
      <c r="O31" s="31">
        <f t="shared" si="3"/>
        <v>-1</v>
      </c>
      <c r="Q31" s="107"/>
      <c r="S31" s="107"/>
      <c r="U31" s="107"/>
      <c r="W31" s="107"/>
    </row>
    <row r="32" spans="2:23" x14ac:dyDescent="0.2">
      <c r="B32" s="33"/>
      <c r="C32" s="21"/>
      <c r="D32" s="22"/>
      <c r="E32" s="23"/>
      <c r="F32" s="24"/>
      <c r="G32" s="25">
        <f t="shared" ref="G32:G38" si="6">$F$18</f>
        <v>51100</v>
      </c>
      <c r="H32" s="26">
        <f t="shared" si="0"/>
        <v>0</v>
      </c>
      <c r="I32" s="27"/>
      <c r="J32" s="28"/>
      <c r="K32" s="25">
        <f t="shared" si="5"/>
        <v>51100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51100</v>
      </c>
      <c r="H33" s="26">
        <f t="shared" si="0"/>
        <v>0</v>
      </c>
      <c r="I33" s="27"/>
      <c r="J33" s="28"/>
      <c r="K33" s="25">
        <f t="shared" si="5"/>
        <v>51100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51100</v>
      </c>
      <c r="H34" s="26">
        <f t="shared" si="0"/>
        <v>0</v>
      </c>
      <c r="I34" s="27"/>
      <c r="J34" s="28"/>
      <c r="K34" s="25">
        <f t="shared" si="5"/>
        <v>51100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51100</v>
      </c>
      <c r="H35" s="26">
        <f t="shared" si="0"/>
        <v>0</v>
      </c>
      <c r="I35" s="27"/>
      <c r="J35" s="28"/>
      <c r="K35" s="25">
        <f t="shared" si="5"/>
        <v>51100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51100</v>
      </c>
      <c r="H36" s="26">
        <f t="shared" si="0"/>
        <v>0</v>
      </c>
      <c r="I36" s="27"/>
      <c r="J36" s="28"/>
      <c r="K36" s="25">
        <f t="shared" si="5"/>
        <v>51100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51100</v>
      </c>
      <c r="H37" s="26">
        <f t="shared" si="0"/>
        <v>0</v>
      </c>
      <c r="I37" s="27"/>
      <c r="J37" s="28"/>
      <c r="K37" s="25">
        <f t="shared" si="5"/>
        <v>51100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51100</v>
      </c>
      <c r="H38" s="26">
        <f t="shared" si="0"/>
        <v>0</v>
      </c>
      <c r="I38" s="27"/>
      <c r="J38" s="28"/>
      <c r="K38" s="25">
        <f t="shared" si="5"/>
        <v>51100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399.67449999999997</v>
      </c>
      <c r="I39" s="40"/>
      <c r="J39" s="41"/>
      <c r="K39" s="42"/>
      <c r="L39" s="39">
        <f>SUM(L23:L38)</f>
        <v>416.22499999999997</v>
      </c>
      <c r="M39" s="40"/>
      <c r="N39" s="43">
        <f t="shared" si="2"/>
        <v>16.5505</v>
      </c>
      <c r="O39" s="44">
        <f t="shared" si="3"/>
        <v>4.1409947344651712E-2</v>
      </c>
      <c r="Q39" s="107"/>
      <c r="R39" s="211"/>
      <c r="S39" s="107"/>
      <c r="T39" s="211"/>
      <c r="U39" s="107"/>
      <c r="V39" s="211"/>
      <c r="W39" s="107"/>
    </row>
    <row r="40" spans="2:23" ht="38.25" x14ac:dyDescent="0.2">
      <c r="B40" s="154" t="s">
        <v>102</v>
      </c>
      <c r="C40" s="21"/>
      <c r="D40" s="22" t="s">
        <v>59</v>
      </c>
      <c r="E40" s="23"/>
      <c r="F40" s="50">
        <f>'Proposed Rates'!D40</f>
        <v>-0.35541499999999998</v>
      </c>
      <c r="G40" s="51">
        <f>+$F$19</f>
        <v>50</v>
      </c>
      <c r="H40" s="26">
        <f>G40*F40</f>
        <v>-17.77075</v>
      </c>
      <c r="I40" s="27"/>
      <c r="J40" s="28">
        <f>+'Proposed Rates'!E40</f>
        <v>1.17E-2</v>
      </c>
      <c r="K40" s="51">
        <f>+$F$19</f>
        <v>50</v>
      </c>
      <c r="L40" s="26">
        <f>K40*J40</f>
        <v>0.58499999999999996</v>
      </c>
      <c r="M40" s="27"/>
      <c r="N40" s="30">
        <f>L40-H40</f>
        <v>18.35575</v>
      </c>
      <c r="O40" s="31">
        <f>IF((H40)=0,"",(N40/H40))</f>
        <v>-1.0329192633963113</v>
      </c>
      <c r="Q40" s="107"/>
      <c r="S40" s="107"/>
      <c r="U40" s="107"/>
      <c r="W40" s="107"/>
    </row>
    <row r="41" spans="2:23" ht="38.25" x14ac:dyDescent="0.2">
      <c r="B41" s="154" t="s">
        <v>103</v>
      </c>
      <c r="C41" s="21"/>
      <c r="D41" s="22" t="s">
        <v>59</v>
      </c>
      <c r="E41" s="23"/>
      <c r="F41" s="24">
        <f>'Proposed Rates'!D54</f>
        <v>-2.9000000000000001E-2</v>
      </c>
      <c r="G41" s="51">
        <f>+F19</f>
        <v>50</v>
      </c>
      <c r="H41" s="26">
        <f t="shared" ref="H41:H46" si="7">G41*F41</f>
        <v>-1.4500000000000002</v>
      </c>
      <c r="I41" s="47"/>
      <c r="J41" s="28">
        <f>+'Proposed Rates'!E54</f>
        <v>1.29E-2</v>
      </c>
      <c r="K41" s="25">
        <f>$G$41</f>
        <v>50</v>
      </c>
      <c r="L41" s="26">
        <f t="shared" ref="L41:L46" si="8">K41*J41</f>
        <v>0.64500000000000002</v>
      </c>
      <c r="M41" s="48"/>
      <c r="N41" s="30">
        <f t="shared" ref="N41:N46" si="9">L41-H41</f>
        <v>2.0950000000000002</v>
      </c>
      <c r="O41" s="31">
        <f t="shared" ref="O41:O65" si="10">IF((H41)=0,"",(N41/H41))</f>
        <v>-1.4448275862068964</v>
      </c>
      <c r="Q41" s="107"/>
      <c r="S41" s="107"/>
      <c r="U41" s="107"/>
      <c r="W41" s="107"/>
    </row>
    <row r="42" spans="2:23" ht="38.25" x14ac:dyDescent="0.2">
      <c r="B42" s="154" t="s">
        <v>60</v>
      </c>
      <c r="C42" s="21"/>
      <c r="D42" s="22" t="s">
        <v>21</v>
      </c>
      <c r="E42" s="23"/>
      <c r="F42" s="24">
        <f>'Proposed Rates'!D83</f>
        <v>2.81E-3</v>
      </c>
      <c r="G42" s="25">
        <f t="shared" ref="G42:G44" si="11">$F$18</f>
        <v>51100</v>
      </c>
      <c r="H42" s="26">
        <f t="shared" si="7"/>
        <v>143.59100000000001</v>
      </c>
      <c r="I42" s="47"/>
      <c r="J42" s="28">
        <f>+'Proposed Rates'!E83</f>
        <v>-2.0999999999999999E-3</v>
      </c>
      <c r="K42" s="25">
        <f t="shared" ref="K42" si="12">$F$18</f>
        <v>51100</v>
      </c>
      <c r="L42" s="26">
        <f t="shared" si="8"/>
        <v>-107.30999999999999</v>
      </c>
      <c r="M42" s="48"/>
      <c r="N42" s="30">
        <f t="shared" si="9"/>
        <v>-250.90100000000001</v>
      </c>
      <c r="O42" s="31">
        <f t="shared" si="10"/>
        <v>-1.7473309608540926</v>
      </c>
      <c r="Q42" s="107"/>
      <c r="S42" s="107"/>
      <c r="U42" s="107"/>
      <c r="W42" s="107"/>
    </row>
    <row r="43" spans="2:23" ht="38.25" x14ac:dyDescent="0.2">
      <c r="B43" s="46" t="s">
        <v>108</v>
      </c>
      <c r="C43" s="21"/>
      <c r="D43" s="22" t="s">
        <v>59</v>
      </c>
      <c r="E43" s="23"/>
      <c r="F43" s="24">
        <f>'Proposed Rates'!D99</f>
        <v>-0.63453599999999999</v>
      </c>
      <c r="G43" s="51">
        <f>+F19</f>
        <v>50</v>
      </c>
      <c r="H43" s="26">
        <f>G43*F43</f>
        <v>-31.726800000000001</v>
      </c>
      <c r="I43" s="47"/>
      <c r="J43" s="28">
        <f>+'Proposed Rates'!E99</f>
        <v>-0.9869</v>
      </c>
      <c r="K43" s="51">
        <f>+F19</f>
        <v>50</v>
      </c>
      <c r="L43" s="26">
        <f t="shared" si="8"/>
        <v>-49.344999999999999</v>
      </c>
      <c r="M43" s="48"/>
      <c r="N43" s="30">
        <f t="shared" si="9"/>
        <v>-17.618199999999998</v>
      </c>
      <c r="O43" s="31">
        <f t="shared" si="10"/>
        <v>0.55530970662027046</v>
      </c>
      <c r="Q43" s="107"/>
      <c r="S43" s="107"/>
      <c r="U43" s="107"/>
      <c r="W43" s="107"/>
    </row>
    <row r="44" spans="2:23" ht="38.25" x14ac:dyDescent="0.2">
      <c r="B44" s="46" t="s">
        <v>128</v>
      </c>
      <c r="C44" s="21"/>
      <c r="D44" s="22" t="s">
        <v>21</v>
      </c>
      <c r="E44" s="23"/>
      <c r="F44" s="24">
        <f>+'Proposed Rates'!D113</f>
        <v>0</v>
      </c>
      <c r="G44" s="25">
        <f t="shared" si="11"/>
        <v>51100</v>
      </c>
      <c r="H44" s="26">
        <f>G44*F44</f>
        <v>0</v>
      </c>
      <c r="I44" s="236"/>
      <c r="J44" s="233">
        <f>+'Proposed Rates'!E113</f>
        <v>2.7E-4</v>
      </c>
      <c r="K44" s="25">
        <f t="shared" ref="K44" si="13">$F$18</f>
        <v>51100</v>
      </c>
      <c r="L44" s="26">
        <f t="shared" si="8"/>
        <v>13.797000000000001</v>
      </c>
      <c r="M44" s="236"/>
      <c r="N44" s="30">
        <f t="shared" si="9"/>
        <v>13.797000000000001</v>
      </c>
      <c r="O44" s="31" t="str">
        <f t="shared" si="10"/>
        <v/>
      </c>
      <c r="Q44" s="107"/>
      <c r="S44" s="107"/>
      <c r="U44" s="107"/>
      <c r="W44" s="107"/>
    </row>
    <row r="45" spans="2:23" x14ac:dyDescent="0.2">
      <c r="B45" s="49" t="s">
        <v>26</v>
      </c>
      <c r="C45" s="21"/>
      <c r="D45" s="22" t="s">
        <v>59</v>
      </c>
      <c r="E45" s="23"/>
      <c r="F45" s="50">
        <f>'Proposed Rates'!D128</f>
        <v>2.5260000000000001E-2</v>
      </c>
      <c r="G45" s="51">
        <f>+$F$19</f>
        <v>50</v>
      </c>
      <c r="H45" s="26">
        <f>G45*F45</f>
        <v>1.2630000000000001</v>
      </c>
      <c r="I45" s="27"/>
      <c r="J45" s="52">
        <f>'Proposed Rates'!E128</f>
        <v>2.632E-2</v>
      </c>
      <c r="K45" s="51">
        <f>+$F$19</f>
        <v>50</v>
      </c>
      <c r="L45" s="26">
        <f>K45*J45</f>
        <v>1.3160000000000001</v>
      </c>
      <c r="M45" s="27"/>
      <c r="N45" s="30">
        <f>L45-H45</f>
        <v>5.2999999999999936E-2</v>
      </c>
      <c r="O45" s="31">
        <f>IF((H45)=0,"",(N45/H45))</f>
        <v>4.1963578780680862E-2</v>
      </c>
      <c r="Q45" s="107"/>
      <c r="S45" s="107"/>
      <c r="U45" s="107"/>
      <c r="W45" s="107"/>
    </row>
    <row r="46" spans="2:23" x14ac:dyDescent="0.2">
      <c r="B46" s="49" t="s">
        <v>27</v>
      </c>
      <c r="C46" s="21"/>
      <c r="D46" s="22"/>
      <c r="E46" s="23"/>
      <c r="F46" s="53">
        <f>IF(ISBLANK(D16)=TRUE, 0, IF(D16="TOU", 0.65*$F$57+0.17*$F$58+0.18*$F$59, IF(AND(D16="non-TOU", G61&gt;0), F61,F60)))</f>
        <v>0.11139</v>
      </c>
      <c r="G46" s="54">
        <f>$F$18*(1+$F$72)-$F$18</f>
        <v>1711.8500000000058</v>
      </c>
      <c r="H46" s="26">
        <f t="shared" si="7"/>
        <v>190.68297150000066</v>
      </c>
      <c r="I46" s="27"/>
      <c r="J46" s="55">
        <f>0.65*$J$57+0.17*$J$58+0.18*$J$59</f>
        <v>0.11139</v>
      </c>
      <c r="K46" s="54">
        <f>$F$18*(1+$J$72)-$F$18</f>
        <v>1711.8500000000058</v>
      </c>
      <c r="L46" s="26">
        <f t="shared" si="8"/>
        <v>190.68297150000066</v>
      </c>
      <c r="M46" s="27"/>
      <c r="N46" s="30">
        <f t="shared" si="9"/>
        <v>0</v>
      </c>
      <c r="O46" s="31">
        <f t="shared" si="10"/>
        <v>0</v>
      </c>
      <c r="Q46" s="107"/>
      <c r="S46" s="107"/>
      <c r="U46" s="107"/>
      <c r="W46" s="107"/>
    </row>
    <row r="47" spans="2:23" x14ac:dyDescent="0.2">
      <c r="B47" s="49" t="s">
        <v>28</v>
      </c>
      <c r="C47" s="21"/>
      <c r="D47" s="22" t="s">
        <v>18</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5.5" x14ac:dyDescent="0.2">
      <c r="B48" s="56" t="s">
        <v>29</v>
      </c>
      <c r="C48" s="57"/>
      <c r="D48" s="57"/>
      <c r="E48" s="57"/>
      <c r="F48" s="58"/>
      <c r="G48" s="59"/>
      <c r="H48" s="60">
        <f>SUM(H40:H47)+H39</f>
        <v>684.26392150000061</v>
      </c>
      <c r="I48" s="40"/>
      <c r="J48" s="59"/>
      <c r="K48" s="61"/>
      <c r="L48" s="60">
        <f>SUM(L40:L47)+L39</f>
        <v>466.59597150000064</v>
      </c>
      <c r="M48" s="40"/>
      <c r="N48" s="43">
        <f t="shared" ref="N48:N65" si="14">L48-H48</f>
        <v>-217.66794999999996</v>
      </c>
      <c r="O48" s="44">
        <f t="shared" si="10"/>
        <v>-0.31810525611644391</v>
      </c>
      <c r="Q48" s="107"/>
      <c r="S48" s="107"/>
      <c r="U48" s="107"/>
      <c r="W48" s="107"/>
    </row>
    <row r="49" spans="2:23" x14ac:dyDescent="0.2">
      <c r="B49" s="27" t="s">
        <v>30</v>
      </c>
      <c r="C49" s="27"/>
      <c r="D49" s="62" t="s">
        <v>59</v>
      </c>
      <c r="E49" s="63"/>
      <c r="F49" s="28">
        <f>'Proposed Rates'!D158</f>
        <v>2.8607999999999998</v>
      </c>
      <c r="G49" s="64">
        <f>+$F$19</f>
        <v>50</v>
      </c>
      <c r="H49" s="26">
        <f>G49*F49</f>
        <v>143.04</v>
      </c>
      <c r="I49" s="27"/>
      <c r="J49" s="28">
        <f>'Proposed Rates'!E158</f>
        <v>2.8016000000000001</v>
      </c>
      <c r="K49" s="64">
        <f>+$F$19</f>
        <v>50</v>
      </c>
      <c r="L49" s="26">
        <f>K49*J49</f>
        <v>140.08000000000001</v>
      </c>
      <c r="M49" s="27"/>
      <c r="N49" s="30">
        <f t="shared" si="14"/>
        <v>-2.9599999999999795</v>
      </c>
      <c r="O49" s="31">
        <f t="shared" si="10"/>
        <v>-2.0693512304250417E-2</v>
      </c>
      <c r="Q49" s="107"/>
      <c r="S49" s="107"/>
      <c r="U49" s="107"/>
      <c r="W49" s="107"/>
    </row>
    <row r="50" spans="2:23" ht="25.5" x14ac:dyDescent="0.2">
      <c r="B50" s="66" t="s">
        <v>31</v>
      </c>
      <c r="C50" s="27"/>
      <c r="D50" s="62" t="s">
        <v>59</v>
      </c>
      <c r="E50" s="63"/>
      <c r="F50" s="28">
        <f>'Proposed Rates'!D173</f>
        <v>1.8267</v>
      </c>
      <c r="G50" s="64">
        <f>G49</f>
        <v>50</v>
      </c>
      <c r="H50" s="26">
        <f>G50*F50</f>
        <v>91.334999999999994</v>
      </c>
      <c r="I50" s="27"/>
      <c r="J50" s="28">
        <f>'Proposed Rates'!E173</f>
        <v>1.8173999999999999</v>
      </c>
      <c r="K50" s="64">
        <f>K49</f>
        <v>50</v>
      </c>
      <c r="L50" s="26">
        <f>K50*J50</f>
        <v>90.86999999999999</v>
      </c>
      <c r="M50" s="27"/>
      <c r="N50" s="30">
        <f t="shared" si="14"/>
        <v>-0.46500000000000341</v>
      </c>
      <c r="O50" s="31">
        <f t="shared" si="10"/>
        <v>-5.0911479717523781E-3</v>
      </c>
      <c r="Q50" s="107"/>
      <c r="S50" s="107"/>
      <c r="U50" s="107"/>
      <c r="W50" s="107"/>
    </row>
    <row r="51" spans="2:23" ht="25.5" x14ac:dyDescent="0.2">
      <c r="B51" s="56" t="s">
        <v>32</v>
      </c>
      <c r="C51" s="35"/>
      <c r="D51" s="35"/>
      <c r="E51" s="35"/>
      <c r="F51" s="67"/>
      <c r="G51" s="59"/>
      <c r="H51" s="60">
        <f>SUM(H48:H50)</f>
        <v>918.63892150000061</v>
      </c>
      <c r="I51" s="68"/>
      <c r="J51" s="69"/>
      <c r="K51" s="59"/>
      <c r="L51" s="60">
        <f>SUM(L48:L50)</f>
        <v>697.54597150000063</v>
      </c>
      <c r="M51" s="68"/>
      <c r="N51" s="43">
        <f t="shared" si="14"/>
        <v>-221.09294999999997</v>
      </c>
      <c r="O51" s="44">
        <f t="shared" si="10"/>
        <v>-0.24067448572610892</v>
      </c>
      <c r="Q51" s="102"/>
      <c r="S51" s="102"/>
      <c r="U51" s="102"/>
      <c r="W51" s="102"/>
    </row>
    <row r="52" spans="2:23" ht="25.5" x14ac:dyDescent="0.2">
      <c r="B52" s="71" t="s">
        <v>33</v>
      </c>
      <c r="C52" s="21"/>
      <c r="D52" s="22" t="s">
        <v>21</v>
      </c>
      <c r="E52" s="23"/>
      <c r="F52" s="72">
        <f>'Proposed Rates'!D186</f>
        <v>3.5999999999999999E-3</v>
      </c>
      <c r="G52" s="64">
        <f>+$F$18+G46</f>
        <v>52811.850000000006</v>
      </c>
      <c r="H52" s="73">
        <f t="shared" ref="H52:H59" si="15">G52*F52</f>
        <v>190.12266000000002</v>
      </c>
      <c r="I52" s="27"/>
      <c r="J52" s="72">
        <f>F52</f>
        <v>3.5999999999999999E-3</v>
      </c>
      <c r="K52" s="64">
        <f>+$F$18+K46</f>
        <v>52811.850000000006</v>
      </c>
      <c r="L52" s="73">
        <f t="shared" ref="L52:L59" si="16">K52*J52</f>
        <v>190.12266000000002</v>
      </c>
      <c r="M52" s="27"/>
      <c r="N52" s="30">
        <f t="shared" si="14"/>
        <v>0</v>
      </c>
      <c r="O52" s="74">
        <f t="shared" si="10"/>
        <v>0</v>
      </c>
      <c r="Q52" s="107"/>
      <c r="S52" s="107"/>
      <c r="U52" s="107"/>
      <c r="W52" s="107"/>
    </row>
    <row r="53" spans="2:23" ht="25.5" x14ac:dyDescent="0.2">
      <c r="B53" s="71" t="s">
        <v>34</v>
      </c>
      <c r="C53" s="21"/>
      <c r="D53" s="22" t="s">
        <v>21</v>
      </c>
      <c r="E53" s="23"/>
      <c r="F53" s="72">
        <f>'Proposed Rates'!D191</f>
        <v>1.2999999999999999E-3</v>
      </c>
      <c r="G53" s="64">
        <f>G52</f>
        <v>52811.850000000006</v>
      </c>
      <c r="H53" s="73">
        <f t="shared" si="15"/>
        <v>68.655405000000002</v>
      </c>
      <c r="I53" s="27"/>
      <c r="J53" s="72">
        <f>F53</f>
        <v>1.2999999999999999E-3</v>
      </c>
      <c r="K53" s="64">
        <f>K52</f>
        <v>52811.850000000006</v>
      </c>
      <c r="L53" s="73">
        <f t="shared" si="16"/>
        <v>68.655405000000002</v>
      </c>
      <c r="M53" s="27"/>
      <c r="N53" s="30">
        <f t="shared" si="14"/>
        <v>0</v>
      </c>
      <c r="O53" s="74">
        <f t="shared" si="10"/>
        <v>0</v>
      </c>
      <c r="Q53" s="107"/>
      <c r="S53" s="107"/>
      <c r="U53" s="107"/>
      <c r="W53" s="107"/>
    </row>
    <row r="54" spans="2:23" x14ac:dyDescent="0.2">
      <c r="B54" s="21" t="s">
        <v>35</v>
      </c>
      <c r="C54" s="21"/>
      <c r="D54" s="22" t="s">
        <v>18</v>
      </c>
      <c r="E54" s="23"/>
      <c r="F54" s="72">
        <f>'Proposed Rates'!D196</f>
        <v>0.25</v>
      </c>
      <c r="G54" s="25">
        <v>1</v>
      </c>
      <c r="H54" s="73">
        <f t="shared" si="15"/>
        <v>0.25</v>
      </c>
      <c r="I54" s="27"/>
      <c r="J54" s="72">
        <f>'Proposed Rates'!E196</f>
        <v>0.25</v>
      </c>
      <c r="K54" s="29">
        <v>1</v>
      </c>
      <c r="L54" s="73">
        <f t="shared" si="16"/>
        <v>0.25</v>
      </c>
      <c r="M54" s="27"/>
      <c r="N54" s="30">
        <f t="shared" si="14"/>
        <v>0</v>
      </c>
      <c r="O54" s="74">
        <f t="shared" si="10"/>
        <v>0</v>
      </c>
      <c r="Q54" s="107"/>
      <c r="S54" s="107"/>
      <c r="U54" s="107"/>
      <c r="W54" s="107"/>
    </row>
    <row r="55" spans="2:23" x14ac:dyDescent="0.2">
      <c r="B55" s="21" t="s">
        <v>122</v>
      </c>
      <c r="C55" s="21"/>
      <c r="D55" s="22"/>
      <c r="E55" s="23"/>
      <c r="F55" s="72">
        <f>'Proposed Rates'!D221</f>
        <v>1.1000000000000001E-3</v>
      </c>
      <c r="G55" s="75">
        <f>G52</f>
        <v>52811.850000000006</v>
      </c>
      <c r="H55" s="73">
        <f>G55*F55</f>
        <v>58.093035000000008</v>
      </c>
      <c r="I55" s="27"/>
      <c r="J55" s="72">
        <f>F55</f>
        <v>1.1000000000000001E-3</v>
      </c>
      <c r="K55" s="75">
        <f>K52</f>
        <v>52811.850000000006</v>
      </c>
      <c r="L55" s="73">
        <f>K55*J55</f>
        <v>58.093035000000008</v>
      </c>
      <c r="M55" s="27"/>
      <c r="N55" s="30"/>
      <c r="O55" s="74"/>
      <c r="Q55" s="107"/>
      <c r="S55" s="107"/>
      <c r="U55" s="107"/>
      <c r="W55" s="107"/>
    </row>
    <row r="56" spans="2:23" x14ac:dyDescent="0.2">
      <c r="B56" s="21" t="s">
        <v>36</v>
      </c>
      <c r="C56" s="21"/>
      <c r="D56" s="22"/>
      <c r="E56" s="23"/>
      <c r="F56" s="72">
        <f>'Proposed Rates'!D216</f>
        <v>6.94E-3</v>
      </c>
      <c r="G56" s="75">
        <f>$F$18</f>
        <v>51100</v>
      </c>
      <c r="H56" s="73">
        <f t="shared" si="15"/>
        <v>354.63400000000001</v>
      </c>
      <c r="I56" s="27"/>
      <c r="J56" s="72">
        <f>+F56</f>
        <v>6.94E-3</v>
      </c>
      <c r="K56" s="76">
        <f>$F$18</f>
        <v>51100</v>
      </c>
      <c r="L56" s="73">
        <f t="shared" si="16"/>
        <v>354.63400000000001</v>
      </c>
      <c r="M56" s="27"/>
      <c r="N56" s="30">
        <f t="shared" si="14"/>
        <v>0</v>
      </c>
      <c r="O56" s="74">
        <f t="shared" si="10"/>
        <v>0</v>
      </c>
      <c r="Q56" s="107"/>
      <c r="S56" s="107"/>
      <c r="U56" s="107"/>
      <c r="W56" s="107"/>
    </row>
    <row r="57" spans="2:23" x14ac:dyDescent="0.2">
      <c r="B57" s="49" t="s">
        <v>37</v>
      </c>
      <c r="C57" s="21"/>
      <c r="D57" s="22"/>
      <c r="E57" s="23"/>
      <c r="F57" s="72">
        <f>'Proposed Rates'!D226</f>
        <v>8.6999999999999994E-2</v>
      </c>
      <c r="G57" s="77">
        <f>0.65*$F$18</f>
        <v>33215</v>
      </c>
      <c r="H57" s="73">
        <f t="shared" si="15"/>
        <v>2889.7049999999999</v>
      </c>
      <c r="I57" s="27"/>
      <c r="J57" s="72">
        <f>F57</f>
        <v>8.6999999999999994E-2</v>
      </c>
      <c r="K57" s="77">
        <f>$G$57</f>
        <v>33215</v>
      </c>
      <c r="L57" s="73">
        <f t="shared" si="16"/>
        <v>2889.7049999999999</v>
      </c>
      <c r="M57" s="27"/>
      <c r="N57" s="30">
        <f t="shared" si="14"/>
        <v>0</v>
      </c>
      <c r="O57" s="74">
        <f t="shared" si="10"/>
        <v>0</v>
      </c>
      <c r="Q57" s="107"/>
      <c r="S57" s="107"/>
      <c r="U57" s="107"/>
      <c r="W57" s="107"/>
    </row>
    <row r="58" spans="2:23" x14ac:dyDescent="0.2">
      <c r="B58" s="49" t="s">
        <v>38</v>
      </c>
      <c r="C58" s="21"/>
      <c r="D58" s="22"/>
      <c r="E58" s="23"/>
      <c r="F58" s="72">
        <f>'Proposed Rates'!D227</f>
        <v>0.13200000000000001</v>
      </c>
      <c r="G58" s="77">
        <f>0.17*$F$18</f>
        <v>8687</v>
      </c>
      <c r="H58" s="73">
        <f t="shared" si="15"/>
        <v>1146.684</v>
      </c>
      <c r="I58" s="27"/>
      <c r="J58" s="72">
        <f>F58</f>
        <v>0.13200000000000001</v>
      </c>
      <c r="K58" s="77">
        <f>$G$58</f>
        <v>8687</v>
      </c>
      <c r="L58" s="73">
        <f t="shared" si="16"/>
        <v>1146.684</v>
      </c>
      <c r="M58" s="27"/>
      <c r="N58" s="30">
        <f t="shared" si="14"/>
        <v>0</v>
      </c>
      <c r="O58" s="74">
        <f t="shared" si="10"/>
        <v>0</v>
      </c>
      <c r="Q58" s="107"/>
      <c r="S58" s="107"/>
      <c r="U58" s="107"/>
      <c r="W58" s="107"/>
    </row>
    <row r="59" spans="2:23" x14ac:dyDescent="0.2">
      <c r="B59" s="11" t="s">
        <v>39</v>
      </c>
      <c r="C59" s="21"/>
      <c r="D59" s="22"/>
      <c r="E59" s="23"/>
      <c r="F59" s="72">
        <f>'Proposed Rates'!D228</f>
        <v>0.18</v>
      </c>
      <c r="G59" s="77">
        <f>0.18*$F$18</f>
        <v>9198</v>
      </c>
      <c r="H59" s="73">
        <f t="shared" si="15"/>
        <v>1655.6399999999999</v>
      </c>
      <c r="I59" s="27"/>
      <c r="J59" s="72">
        <f>F59</f>
        <v>0.18</v>
      </c>
      <c r="K59" s="77">
        <f>$G$59</f>
        <v>9198</v>
      </c>
      <c r="L59" s="73">
        <f t="shared" si="16"/>
        <v>1655.6399999999999</v>
      </c>
      <c r="M59" s="27"/>
      <c r="N59" s="30">
        <f t="shared" si="14"/>
        <v>0</v>
      </c>
      <c r="O59" s="74">
        <f t="shared" si="10"/>
        <v>0</v>
      </c>
      <c r="Q59" s="107"/>
      <c r="S59" s="107"/>
      <c r="U59" s="107"/>
      <c r="W59" s="107"/>
    </row>
    <row r="60" spans="2:23" s="85" customFormat="1" x14ac:dyDescent="0.2">
      <c r="B60" s="78" t="s">
        <v>40</v>
      </c>
      <c r="C60" s="79"/>
      <c r="D60" s="80"/>
      <c r="E60" s="81"/>
      <c r="F60" s="72">
        <f>'Proposed Rates'!D229</f>
        <v>0.10299999999999999</v>
      </c>
      <c r="G60" s="82">
        <v>750</v>
      </c>
      <c r="H60" s="73">
        <f>G60*F60</f>
        <v>77.25</v>
      </c>
      <c r="I60" s="83"/>
      <c r="J60" s="72">
        <f>F60</f>
        <v>0.10299999999999999</v>
      </c>
      <c r="K60" s="82">
        <f>$G$60</f>
        <v>750</v>
      </c>
      <c r="L60" s="73">
        <f>K60*J60</f>
        <v>77.25</v>
      </c>
      <c r="M60" s="83"/>
      <c r="N60" s="84">
        <f t="shared" si="14"/>
        <v>0</v>
      </c>
      <c r="O60" s="74">
        <f t="shared" si="10"/>
        <v>0</v>
      </c>
      <c r="Q60" s="143"/>
      <c r="R60" s="212"/>
      <c r="S60" s="143"/>
      <c r="T60" s="212"/>
      <c r="U60" s="143"/>
      <c r="V60" s="212"/>
      <c r="W60" s="143"/>
    </row>
    <row r="61" spans="2:23" s="85" customFormat="1" ht="13.5" thickBot="1" x14ac:dyDescent="0.25">
      <c r="B61" s="78" t="s">
        <v>41</v>
      </c>
      <c r="C61" s="79"/>
      <c r="D61" s="80"/>
      <c r="E61" s="81"/>
      <c r="F61" s="72">
        <f>'Proposed Rates'!D230</f>
        <v>0.121</v>
      </c>
      <c r="G61" s="82">
        <f>F18-G60</f>
        <v>50350</v>
      </c>
      <c r="H61" s="73">
        <f>G61*F61</f>
        <v>6092.3499999999995</v>
      </c>
      <c r="I61" s="83"/>
      <c r="J61" s="72">
        <f>F61</f>
        <v>0.121</v>
      </c>
      <c r="K61" s="82">
        <f>$G$61</f>
        <v>50350</v>
      </c>
      <c r="L61" s="73">
        <f>K61*J61</f>
        <v>6092.3499999999995</v>
      </c>
      <c r="M61" s="83"/>
      <c r="N61" s="84">
        <f t="shared" si="14"/>
        <v>0</v>
      </c>
      <c r="O61" s="74">
        <f t="shared" si="10"/>
        <v>0</v>
      </c>
      <c r="Q61" s="143"/>
      <c r="R61" s="212"/>
      <c r="S61" s="143"/>
      <c r="T61" s="212"/>
      <c r="U61" s="143"/>
      <c r="V61" s="212"/>
      <c r="W61" s="143"/>
    </row>
    <row r="62" spans="2:23" ht="8.25" customHeight="1" thickBot="1" x14ac:dyDescent="0.25">
      <c r="B62" s="86"/>
      <c r="C62" s="87"/>
      <c r="D62" s="88"/>
      <c r="E62" s="87"/>
      <c r="F62" s="89"/>
      <c r="G62" s="90"/>
      <c r="H62" s="91"/>
      <c r="I62" s="92"/>
      <c r="J62" s="89"/>
      <c r="K62" s="93"/>
      <c r="L62" s="91"/>
      <c r="M62" s="92"/>
      <c r="N62" s="94"/>
      <c r="O62" s="95"/>
      <c r="Q62" s="107"/>
      <c r="S62" s="107"/>
      <c r="U62" s="107"/>
      <c r="W62" s="107"/>
    </row>
    <row r="63" spans="2:23" x14ac:dyDescent="0.2">
      <c r="B63" s="96" t="s">
        <v>42</v>
      </c>
      <c r="C63" s="21"/>
      <c r="D63" s="21"/>
      <c r="E63" s="21"/>
      <c r="F63" s="97"/>
      <c r="G63" s="98"/>
      <c r="H63" s="99">
        <f>SUM(H52:H59,H51)</f>
        <v>7282.4230215000016</v>
      </c>
      <c r="I63" s="100"/>
      <c r="J63" s="101"/>
      <c r="K63" s="101"/>
      <c r="L63" s="99">
        <f>SUM(L52:L59,L51)</f>
        <v>7061.3300715000014</v>
      </c>
      <c r="M63" s="102"/>
      <c r="N63" s="103">
        <f t="shared" ref="N63" si="17">L63-H63</f>
        <v>-221.0929500000002</v>
      </c>
      <c r="O63" s="104">
        <f t="shared" ref="O63" si="18">IF((H63)=0,"",(N63/H63))</f>
        <v>-3.0359805980408487E-2</v>
      </c>
      <c r="Q63" s="102"/>
      <c r="S63" s="102"/>
      <c r="U63" s="102"/>
      <c r="W63" s="102"/>
    </row>
    <row r="64" spans="2:23" x14ac:dyDescent="0.2">
      <c r="B64" s="105" t="s">
        <v>43</v>
      </c>
      <c r="C64" s="21"/>
      <c r="D64" s="21"/>
      <c r="E64" s="21"/>
      <c r="F64" s="106">
        <v>0.13</v>
      </c>
      <c r="G64" s="107"/>
      <c r="H64" s="108">
        <f>H63*F64</f>
        <v>946.71499279500028</v>
      </c>
      <c r="I64" s="109"/>
      <c r="J64" s="110">
        <v>0.13</v>
      </c>
      <c r="K64" s="109"/>
      <c r="L64" s="111">
        <f>L63*J64</f>
        <v>917.97290929500025</v>
      </c>
      <c r="M64" s="112"/>
      <c r="N64" s="113">
        <f t="shared" si="14"/>
        <v>-28.742083500000035</v>
      </c>
      <c r="O64" s="114">
        <f t="shared" si="10"/>
        <v>-3.0359805980408494E-2</v>
      </c>
      <c r="Q64" s="112"/>
      <c r="S64" s="112"/>
      <c r="U64" s="112"/>
      <c r="W64" s="112"/>
    </row>
    <row r="65" spans="1:23" ht="13.5" thickBot="1" x14ac:dyDescent="0.25">
      <c r="B65" s="115" t="s">
        <v>44</v>
      </c>
      <c r="C65" s="21"/>
      <c r="D65" s="21"/>
      <c r="E65" s="21"/>
      <c r="F65" s="116"/>
      <c r="G65" s="107"/>
      <c r="H65" s="99">
        <f>H63+H64</f>
        <v>8229.138014295002</v>
      </c>
      <c r="I65" s="109"/>
      <c r="J65" s="109"/>
      <c r="K65" s="109"/>
      <c r="L65" s="220">
        <f>L63+L64</f>
        <v>7979.3029807950015</v>
      </c>
      <c r="M65" s="112"/>
      <c r="N65" s="103">
        <f t="shared" si="14"/>
        <v>-249.83503350000046</v>
      </c>
      <c r="O65" s="104">
        <f t="shared" si="10"/>
        <v>-3.0359805980408515E-2</v>
      </c>
      <c r="Q65" s="112"/>
      <c r="S65" s="112"/>
      <c r="U65" s="112"/>
      <c r="W65" s="112"/>
    </row>
    <row r="66" spans="1:23" s="85" customFormat="1" ht="8.25" customHeight="1" thickBot="1" x14ac:dyDescent="0.25">
      <c r="B66" s="117"/>
      <c r="C66" s="118"/>
      <c r="D66" s="119"/>
      <c r="E66" s="118"/>
      <c r="F66" s="89"/>
      <c r="G66" s="120"/>
      <c r="H66" s="91"/>
      <c r="I66" s="121"/>
      <c r="J66" s="89"/>
      <c r="K66" s="122"/>
      <c r="L66" s="91"/>
      <c r="M66" s="121"/>
      <c r="N66" s="123"/>
      <c r="O66" s="95"/>
      <c r="Q66" s="143"/>
      <c r="R66" s="212"/>
      <c r="S66" s="143"/>
      <c r="T66" s="212"/>
      <c r="U66" s="143"/>
      <c r="V66" s="212"/>
      <c r="W66" s="143"/>
    </row>
    <row r="67" spans="1:23" s="85" customFormat="1" x14ac:dyDescent="0.2">
      <c r="B67" s="124" t="s">
        <v>45</v>
      </c>
      <c r="C67" s="79"/>
      <c r="D67" s="79"/>
      <c r="E67" s="79"/>
      <c r="F67" s="125"/>
      <c r="G67" s="126"/>
      <c r="H67" s="127">
        <f>SUM(H60:H61,H51,H52:H56)</f>
        <v>7759.9940215000006</v>
      </c>
      <c r="I67" s="128"/>
      <c r="J67" s="129"/>
      <c r="K67" s="129"/>
      <c r="L67" s="127">
        <f>SUM(L60:L61,L51,L52:L56)</f>
        <v>7538.9010715000004</v>
      </c>
      <c r="M67" s="130"/>
      <c r="N67" s="131">
        <f t="shared" ref="N67:N69" si="19">L67-H67</f>
        <v>-221.0929500000002</v>
      </c>
      <c r="O67" s="104">
        <f t="shared" ref="O67:O69" si="20">IF((H67)=0,"",(N67/H67))</f>
        <v>-2.8491381486562422E-2</v>
      </c>
      <c r="Q67" s="130"/>
      <c r="R67" s="212"/>
      <c r="S67" s="130"/>
      <c r="T67" s="212"/>
      <c r="U67" s="130"/>
      <c r="V67" s="212"/>
      <c r="W67" s="130"/>
    </row>
    <row r="68" spans="1:23" s="85" customFormat="1" x14ac:dyDescent="0.2">
      <c r="B68" s="132" t="s">
        <v>43</v>
      </c>
      <c r="C68" s="79"/>
      <c r="D68" s="79"/>
      <c r="E68" s="79"/>
      <c r="F68" s="133">
        <v>0.13</v>
      </c>
      <c r="G68" s="126"/>
      <c r="H68" s="134">
        <f>H67*F68</f>
        <v>1008.7992227950001</v>
      </c>
      <c r="I68" s="135"/>
      <c r="J68" s="136">
        <v>0.13</v>
      </c>
      <c r="K68" s="137"/>
      <c r="L68" s="138">
        <f>L67*J68</f>
        <v>980.05713929500007</v>
      </c>
      <c r="M68" s="139"/>
      <c r="N68" s="140">
        <f t="shared" si="19"/>
        <v>-28.742083500000035</v>
      </c>
      <c r="O68" s="114">
        <f t="shared" si="20"/>
        <v>-2.8491381486562432E-2</v>
      </c>
      <c r="Q68" s="139"/>
      <c r="R68" s="212"/>
      <c r="S68" s="139"/>
      <c r="T68" s="212"/>
      <c r="U68" s="139"/>
      <c r="V68" s="212"/>
      <c r="W68" s="139"/>
    </row>
    <row r="69" spans="1:23" s="85" customFormat="1" ht="13.5" thickBot="1" x14ac:dyDescent="0.25">
      <c r="B69" s="141" t="s">
        <v>44</v>
      </c>
      <c r="C69" s="79"/>
      <c r="D69" s="79"/>
      <c r="E69" s="79"/>
      <c r="F69" s="142"/>
      <c r="G69" s="143"/>
      <c r="H69" s="127">
        <f>H67+H68</f>
        <v>8768.7932442950005</v>
      </c>
      <c r="I69" s="135"/>
      <c r="J69" s="135"/>
      <c r="K69" s="135"/>
      <c r="L69" s="219">
        <f>L67+L68</f>
        <v>8518.9582107950009</v>
      </c>
      <c r="M69" s="139"/>
      <c r="N69" s="131">
        <f t="shared" si="19"/>
        <v>-249.83503349999955</v>
      </c>
      <c r="O69" s="104">
        <f t="shared" si="20"/>
        <v>-2.8491381486562346E-2</v>
      </c>
      <c r="Q69" s="139"/>
      <c r="R69" s="212"/>
      <c r="S69" s="139"/>
      <c r="T69" s="212"/>
      <c r="U69" s="139"/>
      <c r="V69" s="212"/>
      <c r="W69" s="139"/>
    </row>
    <row r="70" spans="1:23" s="85" customFormat="1" ht="8.25" customHeight="1" thickBot="1" x14ac:dyDescent="0.25">
      <c r="B70" s="117"/>
      <c r="C70" s="118"/>
      <c r="D70" s="119"/>
      <c r="E70" s="118"/>
      <c r="F70" s="144"/>
      <c r="G70" s="145"/>
      <c r="H70" s="146"/>
      <c r="I70" s="147"/>
      <c r="J70" s="144"/>
      <c r="K70" s="120"/>
      <c r="L70" s="148"/>
      <c r="M70" s="121"/>
      <c r="N70" s="227"/>
      <c r="O70" s="95"/>
      <c r="Q70" s="143"/>
      <c r="R70" s="212"/>
      <c r="S70" s="143"/>
      <c r="T70" s="212"/>
      <c r="U70" s="143"/>
      <c r="V70" s="212"/>
      <c r="W70" s="143"/>
    </row>
    <row r="71" spans="1:23" x14ac:dyDescent="0.2">
      <c r="L71" s="150"/>
    </row>
    <row r="72" spans="1:23" x14ac:dyDescent="0.2">
      <c r="B72" s="12" t="s">
        <v>46</v>
      </c>
      <c r="F72" s="151">
        <f>'Proposed Rates'!D203</f>
        <v>3.3500000000000002E-2</v>
      </c>
      <c r="J72" s="151">
        <f>+'Res (100)'!J70</f>
        <v>3.3500000000000002E-2</v>
      </c>
    </row>
    <row r="74" spans="1:23" ht="13.5" customHeight="1" x14ac:dyDescent="0.2">
      <c r="Q74" s="210"/>
      <c r="R74" s="210"/>
      <c r="S74" s="6"/>
      <c r="T74" s="6"/>
      <c r="U74" s="6"/>
      <c r="V74" s="6"/>
      <c r="W74" s="6"/>
    </row>
    <row r="75" spans="1:23" ht="12" customHeight="1" x14ac:dyDescent="0.2">
      <c r="A75" s="6" t="s">
        <v>47</v>
      </c>
      <c r="Q75" s="210"/>
      <c r="R75" s="210"/>
      <c r="S75" s="6"/>
      <c r="T75" s="6"/>
      <c r="U75" s="6"/>
      <c r="V75" s="6"/>
      <c r="W75" s="6"/>
    </row>
    <row r="76" spans="1:23" x14ac:dyDescent="0.2">
      <c r="A76" s="6" t="s">
        <v>48</v>
      </c>
      <c r="Q76" s="210"/>
      <c r="R76" s="210"/>
      <c r="S76" s="6"/>
      <c r="T76" s="6"/>
      <c r="U76" s="6"/>
      <c r="V76" s="6"/>
      <c r="W76" s="6"/>
    </row>
    <row r="77" spans="1:23" x14ac:dyDescent="0.2">
      <c r="Q77" s="210"/>
      <c r="R77" s="210"/>
      <c r="S77" s="6"/>
      <c r="T77" s="6"/>
      <c r="U77" s="6"/>
      <c r="V77" s="6"/>
      <c r="W77" s="6"/>
    </row>
    <row r="78" spans="1:23" x14ac:dyDescent="0.2">
      <c r="A78" s="153" t="s">
        <v>136</v>
      </c>
      <c r="Q78" s="210"/>
      <c r="R78" s="210"/>
      <c r="S78" s="6"/>
      <c r="T78" s="6"/>
      <c r="U78" s="6"/>
      <c r="V78" s="6"/>
      <c r="W78" s="6"/>
    </row>
    <row r="79" spans="1:23" x14ac:dyDescent="0.2">
      <c r="A79" s="11" t="s">
        <v>49</v>
      </c>
      <c r="Q79" s="210"/>
      <c r="R79" s="210"/>
      <c r="S79" s="6"/>
      <c r="T79" s="6"/>
      <c r="U79" s="6"/>
      <c r="V79" s="6"/>
      <c r="W79" s="6"/>
    </row>
    <row r="80" spans="1:23" x14ac:dyDescent="0.2">
      <c r="Q80" s="210"/>
      <c r="R80" s="210"/>
      <c r="S80" s="6"/>
      <c r="T80" s="6"/>
      <c r="U80" s="6"/>
      <c r="V80" s="6"/>
      <c r="W80" s="6"/>
    </row>
    <row r="81" spans="1:23" x14ac:dyDescent="0.2">
      <c r="A81" s="6" t="s">
        <v>135</v>
      </c>
      <c r="Q81" s="210"/>
      <c r="R81" s="210"/>
      <c r="S81" s="6"/>
      <c r="T81" s="6"/>
      <c r="U81" s="6"/>
      <c r="V81" s="6"/>
      <c r="W81" s="6"/>
    </row>
    <row r="82" spans="1:23" x14ac:dyDescent="0.2">
      <c r="A82" s="6" t="s">
        <v>50</v>
      </c>
      <c r="Q82" s="210"/>
      <c r="R82" s="210"/>
      <c r="S82" s="6"/>
      <c r="T82" s="6"/>
      <c r="U82" s="6"/>
      <c r="V82" s="6"/>
      <c r="W82" s="6"/>
    </row>
    <row r="83" spans="1:23" x14ac:dyDescent="0.2">
      <c r="A83" s="6" t="s">
        <v>51</v>
      </c>
      <c r="Q83" s="210"/>
      <c r="R83" s="210"/>
      <c r="S83" s="6"/>
      <c r="T83" s="6"/>
      <c r="U83" s="6"/>
      <c r="V83" s="6"/>
      <c r="W83" s="6"/>
    </row>
    <row r="84" spans="1:23" x14ac:dyDescent="0.2">
      <c r="A84" s="6" t="s">
        <v>52</v>
      </c>
      <c r="Q84" s="210"/>
      <c r="R84" s="210"/>
      <c r="S84" s="6"/>
      <c r="T84" s="6"/>
      <c r="U84" s="6"/>
      <c r="V84" s="6"/>
      <c r="W84" s="6"/>
    </row>
    <row r="85" spans="1:23" x14ac:dyDescent="0.2">
      <c r="A85" s="6" t="s">
        <v>53</v>
      </c>
      <c r="Q85" s="210"/>
      <c r="R85" s="210"/>
      <c r="S85" s="6"/>
      <c r="T85" s="6"/>
      <c r="U85" s="6"/>
      <c r="V85" s="6"/>
      <c r="W85" s="6"/>
    </row>
    <row r="86" spans="1:23" x14ac:dyDescent="0.2">
      <c r="Q86" s="210"/>
      <c r="R86" s="210"/>
      <c r="S86" s="6"/>
      <c r="T86" s="6"/>
      <c r="U86" s="6"/>
      <c r="V86" s="6"/>
      <c r="W86" s="6"/>
    </row>
    <row r="87" spans="1:23" x14ac:dyDescent="0.2">
      <c r="A87" s="152"/>
      <c r="B87" s="6" t="s">
        <v>54</v>
      </c>
      <c r="Q87" s="210"/>
      <c r="R87" s="210"/>
      <c r="S87" s="6"/>
      <c r="T87" s="6"/>
      <c r="U87" s="6"/>
      <c r="V87" s="6"/>
      <c r="W87" s="6"/>
    </row>
    <row r="88" spans="1:23" x14ac:dyDescent="0.2">
      <c r="Q88" s="210"/>
      <c r="R88" s="210"/>
      <c r="S88" s="6"/>
      <c r="T88" s="6"/>
      <c r="U88" s="6"/>
      <c r="V88" s="6"/>
      <c r="W88" s="6"/>
    </row>
    <row r="89" spans="1:23" x14ac:dyDescent="0.2">
      <c r="B89" s="153" t="s">
        <v>55</v>
      </c>
      <c r="Q89" s="210"/>
      <c r="R89" s="210"/>
      <c r="S89" s="6"/>
      <c r="T89" s="6"/>
      <c r="U89" s="6"/>
      <c r="V89" s="6"/>
      <c r="W89"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0 D66 D23:D38 D52:D62 D40:D47 D49:D50">
      <formula1>"Monthly, per kWh, per kW"</formula1>
    </dataValidation>
    <dataValidation type="list" allowBlank="1" showInputMessage="1" showErrorMessage="1" sqref="E49:E50 E70 E66 E52:E62 E23:E38 E40:E47">
      <formula1>#REF!</formula1>
    </dataValidation>
  </dataValidations>
  <pageMargins left="0.74803149606299213" right="0.74803149606299213" top="0.98425196850393704" bottom="0.98425196850393704" header="0.51181102362204722" footer="0.51181102362204722"/>
  <pageSetup scale="55" fitToWidth="2"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6</xdr:col>
                    <xdr:colOff>466725</xdr:colOff>
                    <xdr:row>16</xdr:row>
                    <xdr:rowOff>190500</xdr:rowOff>
                  </from>
                  <to>
                    <xdr:col>9</xdr:col>
                    <xdr:colOff>276225</xdr:colOff>
                    <xdr:row>18</xdr:row>
                    <xdr:rowOff>47625</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9</xdr:col>
                    <xdr:colOff>342900</xdr:colOff>
                    <xdr:row>16</xdr:row>
                    <xdr:rowOff>133350</xdr:rowOff>
                  </from>
                  <to>
                    <xdr:col>14</xdr:col>
                    <xdr:colOff>361950</xdr:colOff>
                    <xdr:row>18</xdr:row>
                    <xdr:rowOff>152400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93"/>
  <sheetViews>
    <sheetView showGridLines="0" view="pageBreakPreview" topLeftCell="A7" zoomScale="70" zoomScaleNormal="85" zoomScaleSheetLayoutView="70" workbookViewId="0">
      <selection activeCell="O42" sqref="O42"/>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9.85546875" style="6" bestFit="1" customWidth="1"/>
    <col min="8" max="8" width="16.5703125" style="6" bestFit="1" customWidth="1"/>
    <col min="9" max="9" width="2.85546875" style="6" customWidth="1"/>
    <col min="10" max="10" width="12.7109375" style="6" bestFit="1" customWidth="1"/>
    <col min="11" max="11" width="9.85546875" style="6" bestFit="1" customWidth="1"/>
    <col min="12" max="12" width="16.85546875" style="6" bestFit="1" customWidth="1"/>
    <col min="13" max="13" width="2.85546875" style="6" customWidth="1"/>
    <col min="14" max="14" width="16" style="6" customWidth="1"/>
    <col min="15" max="15" width="13.140625" style="6"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85546875" style="21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57</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127750</v>
      </c>
      <c r="G18" s="12" t="s">
        <v>6</v>
      </c>
    </row>
    <row r="19" spans="2:23" x14ac:dyDescent="0.2">
      <c r="B19" s="11"/>
      <c r="F19" s="13">
        <v>250</v>
      </c>
      <c r="G19" s="6" t="s">
        <v>58</v>
      </c>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+'&gt;50 (100)'!F23</f>
        <v>200</v>
      </c>
      <c r="G23" s="25">
        <v>1</v>
      </c>
      <c r="H23" s="26">
        <f>G23*F23</f>
        <v>200</v>
      </c>
      <c r="I23" s="27"/>
      <c r="J23" s="24">
        <f>+'&gt;50 (100)'!J23</f>
        <v>200</v>
      </c>
      <c r="K23" s="29">
        <v>1</v>
      </c>
      <c r="L23" s="26">
        <f>K23*J23</f>
        <v>200</v>
      </c>
      <c r="M23" s="27"/>
      <c r="N23" s="30">
        <f>L23-H23</f>
        <v>0</v>
      </c>
      <c r="O23" s="31">
        <f>IF((H23)=0,"",(N23/H23))</f>
        <v>0</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59</v>
      </c>
      <c r="E29" s="23"/>
      <c r="F29" s="24">
        <f>+'&gt;50 (100)'!F29</f>
        <v>4.0705999999999998</v>
      </c>
      <c r="G29" s="51">
        <f>+$F$19</f>
        <v>250</v>
      </c>
      <c r="H29" s="26">
        <f t="shared" si="0"/>
        <v>1017.65</v>
      </c>
      <c r="I29" s="27"/>
      <c r="J29" s="24">
        <f>+'&gt;50 (100)'!J29</f>
        <v>4.3244999999999996</v>
      </c>
      <c r="K29" s="51">
        <f>+$F$19</f>
        <v>250</v>
      </c>
      <c r="L29" s="26">
        <f t="shared" si="1"/>
        <v>1081.125</v>
      </c>
      <c r="M29" s="27"/>
      <c r="N29" s="30">
        <f t="shared" si="2"/>
        <v>63.475000000000023</v>
      </c>
      <c r="O29" s="31">
        <f t="shared" si="3"/>
        <v>6.2374097184690239E-2</v>
      </c>
      <c r="Q29" s="107"/>
      <c r="S29" s="107"/>
      <c r="U29" s="107"/>
      <c r="W29" s="107"/>
    </row>
    <row r="30" spans="2:23" x14ac:dyDescent="0.2">
      <c r="B30" s="21" t="s">
        <v>22</v>
      </c>
      <c r="C30" s="21"/>
      <c r="D30" s="22"/>
      <c r="E30" s="23"/>
      <c r="F30" s="24"/>
      <c r="G30" s="25">
        <f t="shared" ref="G30" si="4">$F$18</f>
        <v>127750</v>
      </c>
      <c r="H30" s="26">
        <f t="shared" si="0"/>
        <v>0</v>
      </c>
      <c r="I30" s="27"/>
      <c r="J30" s="24"/>
      <c r="K30" s="25">
        <f t="shared" ref="K30:K38" si="5">$F$18</f>
        <v>127750</v>
      </c>
      <c r="L30" s="26">
        <f t="shared" si="1"/>
        <v>0</v>
      </c>
      <c r="M30" s="27"/>
      <c r="N30" s="30">
        <f t="shared" si="2"/>
        <v>0</v>
      </c>
      <c r="O30" s="31" t="str">
        <f t="shared" si="3"/>
        <v/>
      </c>
      <c r="Q30" s="107"/>
      <c r="S30" s="107"/>
      <c r="U30" s="107"/>
      <c r="W30" s="107"/>
    </row>
    <row r="31" spans="2:23" x14ac:dyDescent="0.2">
      <c r="B31" s="21" t="s">
        <v>23</v>
      </c>
      <c r="C31" s="21"/>
      <c r="D31" s="22" t="s">
        <v>59</v>
      </c>
      <c r="E31" s="23"/>
      <c r="F31" s="24">
        <f>+'&gt;50 (100)'!F31</f>
        <v>-7.7109999999999998E-2</v>
      </c>
      <c r="G31" s="51">
        <f>+$F$19</f>
        <v>250</v>
      </c>
      <c r="H31" s="26">
        <f t="shared" si="0"/>
        <v>-19.2775</v>
      </c>
      <c r="I31" s="27"/>
      <c r="J31" s="24">
        <f>+'&gt;50 (100)'!J31</f>
        <v>0</v>
      </c>
      <c r="K31" s="51">
        <f>+$F$19</f>
        <v>250</v>
      </c>
      <c r="L31" s="26">
        <f t="shared" si="1"/>
        <v>0</v>
      </c>
      <c r="M31" s="27"/>
      <c r="N31" s="30">
        <f t="shared" si="2"/>
        <v>19.2775</v>
      </c>
      <c r="O31" s="31">
        <f t="shared" si="3"/>
        <v>-1</v>
      </c>
      <c r="Q31" s="107"/>
      <c r="S31" s="107"/>
      <c r="U31" s="107"/>
      <c r="W31" s="107"/>
    </row>
    <row r="32" spans="2:23" x14ac:dyDescent="0.2">
      <c r="B32" s="33"/>
      <c r="C32" s="21"/>
      <c r="D32" s="22"/>
      <c r="E32" s="23"/>
      <c r="F32" s="24"/>
      <c r="G32" s="25">
        <f t="shared" ref="G32:G38" si="6">$F$18</f>
        <v>127750</v>
      </c>
      <c r="H32" s="26">
        <f t="shared" si="0"/>
        <v>0</v>
      </c>
      <c r="I32" s="27"/>
      <c r="J32" s="28"/>
      <c r="K32" s="25">
        <f t="shared" si="5"/>
        <v>127750</v>
      </c>
      <c r="L32" s="26">
        <f t="shared" si="1"/>
        <v>0</v>
      </c>
      <c r="M32" s="27"/>
      <c r="N32" s="30">
        <f t="shared" si="2"/>
        <v>0</v>
      </c>
      <c r="O32" s="31" t="str">
        <f t="shared" si="3"/>
        <v/>
      </c>
      <c r="Q32" s="107"/>
      <c r="S32" s="107"/>
      <c r="U32" s="107"/>
      <c r="W32" s="107"/>
    </row>
    <row r="33" spans="2:23" x14ac:dyDescent="0.2">
      <c r="B33" s="33"/>
      <c r="C33" s="21"/>
      <c r="D33" s="22"/>
      <c r="E33" s="23"/>
      <c r="F33" s="24"/>
      <c r="G33" s="25">
        <f t="shared" si="6"/>
        <v>127750</v>
      </c>
      <c r="H33" s="26">
        <f t="shared" si="0"/>
        <v>0</v>
      </c>
      <c r="I33" s="27"/>
      <c r="J33" s="28"/>
      <c r="K33" s="25">
        <f t="shared" si="5"/>
        <v>127750</v>
      </c>
      <c r="L33" s="26">
        <f t="shared" si="1"/>
        <v>0</v>
      </c>
      <c r="M33" s="27"/>
      <c r="N33" s="30">
        <f t="shared" si="2"/>
        <v>0</v>
      </c>
      <c r="O33" s="31" t="str">
        <f t="shared" si="3"/>
        <v/>
      </c>
      <c r="Q33" s="107"/>
      <c r="S33" s="107"/>
      <c r="U33" s="107"/>
      <c r="W33" s="107"/>
    </row>
    <row r="34" spans="2:23" x14ac:dyDescent="0.2">
      <c r="B34" s="33"/>
      <c r="C34" s="21"/>
      <c r="D34" s="22"/>
      <c r="E34" s="23"/>
      <c r="F34" s="24"/>
      <c r="G34" s="25">
        <f t="shared" si="6"/>
        <v>127750</v>
      </c>
      <c r="H34" s="26">
        <f t="shared" si="0"/>
        <v>0</v>
      </c>
      <c r="I34" s="27"/>
      <c r="J34" s="28"/>
      <c r="K34" s="25">
        <f t="shared" si="5"/>
        <v>127750</v>
      </c>
      <c r="L34" s="26">
        <f t="shared" si="1"/>
        <v>0</v>
      </c>
      <c r="M34" s="27"/>
      <c r="N34" s="30">
        <f t="shared" si="2"/>
        <v>0</v>
      </c>
      <c r="O34" s="31" t="str">
        <f t="shared" si="3"/>
        <v/>
      </c>
      <c r="Q34" s="107"/>
      <c r="S34" s="107"/>
      <c r="U34" s="107"/>
      <c r="W34" s="107"/>
    </row>
    <row r="35" spans="2:23" x14ac:dyDescent="0.2">
      <c r="B35" s="33"/>
      <c r="C35" s="21"/>
      <c r="D35" s="22"/>
      <c r="E35" s="23"/>
      <c r="F35" s="24"/>
      <c r="G35" s="25">
        <f t="shared" si="6"/>
        <v>127750</v>
      </c>
      <c r="H35" s="26">
        <f t="shared" si="0"/>
        <v>0</v>
      </c>
      <c r="I35" s="27"/>
      <c r="J35" s="28"/>
      <c r="K35" s="25">
        <f t="shared" si="5"/>
        <v>127750</v>
      </c>
      <c r="L35" s="26">
        <f t="shared" si="1"/>
        <v>0</v>
      </c>
      <c r="M35" s="27"/>
      <c r="N35" s="30">
        <f t="shared" si="2"/>
        <v>0</v>
      </c>
      <c r="O35" s="31" t="str">
        <f t="shared" si="3"/>
        <v/>
      </c>
      <c r="Q35" s="107"/>
      <c r="S35" s="107"/>
      <c r="U35" s="107"/>
      <c r="W35" s="107"/>
    </row>
    <row r="36" spans="2:23" x14ac:dyDescent="0.2">
      <c r="B36" s="33"/>
      <c r="C36" s="21"/>
      <c r="D36" s="22"/>
      <c r="E36" s="23"/>
      <c r="F36" s="24"/>
      <c r="G36" s="25">
        <f t="shared" si="6"/>
        <v>127750</v>
      </c>
      <c r="H36" s="26">
        <f t="shared" si="0"/>
        <v>0</v>
      </c>
      <c r="I36" s="27"/>
      <c r="J36" s="28"/>
      <c r="K36" s="25">
        <f t="shared" si="5"/>
        <v>127750</v>
      </c>
      <c r="L36" s="26">
        <f t="shared" si="1"/>
        <v>0</v>
      </c>
      <c r="M36" s="27"/>
      <c r="N36" s="30">
        <f t="shared" si="2"/>
        <v>0</v>
      </c>
      <c r="O36" s="31" t="str">
        <f t="shared" si="3"/>
        <v/>
      </c>
      <c r="Q36" s="107"/>
      <c r="S36" s="107"/>
      <c r="U36" s="107"/>
      <c r="W36" s="107"/>
    </row>
    <row r="37" spans="2:23" x14ac:dyDescent="0.2">
      <c r="B37" s="33"/>
      <c r="C37" s="21"/>
      <c r="D37" s="22"/>
      <c r="E37" s="23"/>
      <c r="F37" s="24"/>
      <c r="G37" s="25">
        <f t="shared" si="6"/>
        <v>127750</v>
      </c>
      <c r="H37" s="26">
        <f t="shared" si="0"/>
        <v>0</v>
      </c>
      <c r="I37" s="27"/>
      <c r="J37" s="28"/>
      <c r="K37" s="25">
        <f t="shared" si="5"/>
        <v>127750</v>
      </c>
      <c r="L37" s="26">
        <f t="shared" si="1"/>
        <v>0</v>
      </c>
      <c r="M37" s="27"/>
      <c r="N37" s="30">
        <f t="shared" si="2"/>
        <v>0</v>
      </c>
      <c r="O37" s="31" t="str">
        <f t="shared" si="3"/>
        <v/>
      </c>
      <c r="Q37" s="107"/>
      <c r="S37" s="107"/>
      <c r="U37" s="107"/>
      <c r="W37" s="107"/>
    </row>
    <row r="38" spans="2:23" x14ac:dyDescent="0.2">
      <c r="B38" s="33"/>
      <c r="C38" s="21"/>
      <c r="D38" s="22"/>
      <c r="E38" s="23"/>
      <c r="F38" s="24"/>
      <c r="G38" s="25">
        <f t="shared" si="6"/>
        <v>127750</v>
      </c>
      <c r="H38" s="26">
        <f t="shared" si="0"/>
        <v>0</v>
      </c>
      <c r="I38" s="27"/>
      <c r="J38" s="28"/>
      <c r="K38" s="25">
        <f t="shared" si="5"/>
        <v>127750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1198.3725000000002</v>
      </c>
      <c r="I39" s="40"/>
      <c r="J39" s="41"/>
      <c r="K39" s="42"/>
      <c r="L39" s="39">
        <f>SUM(L23:L38)</f>
        <v>1281.125</v>
      </c>
      <c r="M39" s="40"/>
      <c r="N39" s="43">
        <f t="shared" si="2"/>
        <v>82.752499999999827</v>
      </c>
      <c r="O39" s="44">
        <f t="shared" si="3"/>
        <v>6.9054071250800417E-2</v>
      </c>
      <c r="Q39" s="107"/>
      <c r="R39" s="211"/>
      <c r="S39" s="107"/>
      <c r="T39" s="211"/>
      <c r="U39" s="107"/>
      <c r="V39" s="211"/>
      <c r="W39" s="107"/>
    </row>
    <row r="40" spans="2:23" ht="38.25" x14ac:dyDescent="0.2">
      <c r="B40" s="46" t="str">
        <f>+'&gt;50 (100)'!B40</f>
        <v>Deferral/Variance Account Disposition Rate Rider Class 1</v>
      </c>
      <c r="C40" s="21"/>
      <c r="D40" s="22" t="str">
        <f>+'&gt;50 (100)'!D40</f>
        <v>per kW</v>
      </c>
      <c r="E40" s="23"/>
      <c r="F40" s="24">
        <f>'Proposed Rates'!D40</f>
        <v>-0.35541499999999998</v>
      </c>
      <c r="G40" s="51">
        <f>+$F$19</f>
        <v>250</v>
      </c>
      <c r="H40" s="26">
        <f>G40*F40</f>
        <v>-88.853749999999991</v>
      </c>
      <c r="I40" s="27"/>
      <c r="J40" s="24">
        <f>+'&gt;50 (100)'!J40</f>
        <v>1.17E-2</v>
      </c>
      <c r="K40" s="51">
        <f>+$F$19</f>
        <v>250</v>
      </c>
      <c r="L40" s="26">
        <f>K40*J40</f>
        <v>2.9250000000000003</v>
      </c>
      <c r="M40" s="27"/>
      <c r="N40" s="30">
        <f>L40-H40</f>
        <v>91.778749999999988</v>
      </c>
      <c r="O40" s="31">
        <f>IF((H40)=0,"",(N40/H40))</f>
        <v>-1.0329192633963113</v>
      </c>
      <c r="Q40" s="107"/>
      <c r="S40" s="107"/>
      <c r="U40" s="107"/>
      <c r="W40" s="107"/>
    </row>
    <row r="41" spans="2:23" ht="38.25" x14ac:dyDescent="0.2">
      <c r="B41" s="46" t="str">
        <f>+'&gt;50 (100)'!B41</f>
        <v>Deferral/Variance Account Disposition Rate Rider Class 2</v>
      </c>
      <c r="C41" s="21"/>
      <c r="D41" s="22" t="str">
        <f>+'&gt;50 (100)'!D41</f>
        <v>per kW</v>
      </c>
      <c r="E41" s="23"/>
      <c r="F41" s="24">
        <f>'Proposed Rates'!D54</f>
        <v>-2.9000000000000001E-2</v>
      </c>
      <c r="G41" s="51">
        <f>+F19</f>
        <v>250</v>
      </c>
      <c r="H41" s="26">
        <f t="shared" ref="H41:H46" si="7">G41*F41</f>
        <v>-7.25</v>
      </c>
      <c r="I41" s="47"/>
      <c r="J41" s="24">
        <f>+'&gt;50 (100)'!J41</f>
        <v>1.29E-2</v>
      </c>
      <c r="K41" s="25">
        <f>+$G$41</f>
        <v>250</v>
      </c>
      <c r="L41" s="26">
        <f t="shared" ref="L41:L46" si="8">K41*J41</f>
        <v>3.2250000000000001</v>
      </c>
      <c r="M41" s="48"/>
      <c r="N41" s="30">
        <f t="shared" ref="N41:N46" si="9">L41-H41</f>
        <v>10.475</v>
      </c>
      <c r="O41" s="31">
        <f t="shared" ref="O41:O65" si="10">IF((H41)=0,"",(N41/H41))</f>
        <v>-1.4448275862068964</v>
      </c>
      <c r="Q41" s="107"/>
      <c r="S41" s="107"/>
      <c r="U41" s="107"/>
      <c r="W41" s="107"/>
    </row>
    <row r="42" spans="2:23" ht="38.25" x14ac:dyDescent="0.2">
      <c r="B42" s="46" t="str">
        <f>+'&gt;50 (100)'!B42</f>
        <v xml:space="preserve">Deferral/Variance Account Disposition Rate Rider -  Global Adjustment </v>
      </c>
      <c r="C42" s="21"/>
      <c r="D42" s="22" t="str">
        <f>+'&gt;50 (100)'!D42</f>
        <v>per kWh</v>
      </c>
      <c r="E42" s="23"/>
      <c r="F42" s="24">
        <f>'Proposed Rates'!D83</f>
        <v>2.81E-3</v>
      </c>
      <c r="G42" s="25">
        <f t="shared" ref="G42" si="11">$F$18</f>
        <v>127750</v>
      </c>
      <c r="H42" s="26">
        <f t="shared" si="7"/>
        <v>358.97750000000002</v>
      </c>
      <c r="I42" s="47"/>
      <c r="J42" s="24">
        <f>+'&gt;50 (100)'!J42</f>
        <v>-2.0999999999999999E-3</v>
      </c>
      <c r="K42" s="25">
        <f t="shared" ref="K42" si="12">$F$18</f>
        <v>127750</v>
      </c>
      <c r="L42" s="26">
        <f t="shared" si="8"/>
        <v>-268.27499999999998</v>
      </c>
      <c r="M42" s="48"/>
      <c r="N42" s="30">
        <f t="shared" si="9"/>
        <v>-627.25250000000005</v>
      </c>
      <c r="O42" s="31">
        <f t="shared" si="10"/>
        <v>-1.7473309608540926</v>
      </c>
      <c r="Q42" s="107"/>
      <c r="S42" s="107"/>
      <c r="U42" s="107"/>
      <c r="W42" s="107"/>
    </row>
    <row r="43" spans="2:23" ht="38.25" x14ac:dyDescent="0.2">
      <c r="B43" s="46" t="str">
        <f>+'&gt;50 (100)'!B43</f>
        <v>Deferral / Variance Accounts Balances (excluding Global Adj.) - NON-WMP</v>
      </c>
      <c r="C43" s="21"/>
      <c r="D43" s="22" t="s">
        <v>59</v>
      </c>
      <c r="E43" s="23"/>
      <c r="F43" s="24">
        <f>'Proposed Rates'!D99</f>
        <v>-0.63453599999999999</v>
      </c>
      <c r="G43" s="51">
        <f>+F19</f>
        <v>250</v>
      </c>
      <c r="H43" s="26">
        <f t="shared" si="7"/>
        <v>-158.63399999999999</v>
      </c>
      <c r="I43" s="47"/>
      <c r="J43" s="24">
        <f>+'&gt;50 (100)'!J43</f>
        <v>-0.9869</v>
      </c>
      <c r="K43" s="51">
        <f>+F19</f>
        <v>250</v>
      </c>
      <c r="L43" s="26">
        <f t="shared" si="8"/>
        <v>-246.72499999999999</v>
      </c>
      <c r="M43" s="48"/>
      <c r="N43" s="30">
        <f t="shared" si="9"/>
        <v>-88.091000000000008</v>
      </c>
      <c r="O43" s="31">
        <f t="shared" si="10"/>
        <v>0.55530970662027068</v>
      </c>
      <c r="Q43" s="107"/>
      <c r="S43" s="107"/>
      <c r="U43" s="107"/>
      <c r="W43" s="107"/>
    </row>
    <row r="44" spans="2:23" ht="38.25" x14ac:dyDescent="0.2">
      <c r="B44" s="46" t="s">
        <v>128</v>
      </c>
      <c r="C44" s="21"/>
      <c r="D44" s="22" t="s">
        <v>21</v>
      </c>
      <c r="E44" s="23"/>
      <c r="F44" s="24">
        <f>+'&gt;50 (100)'!F44</f>
        <v>0</v>
      </c>
      <c r="G44" s="25">
        <f t="shared" ref="G44" si="13">$F$18</f>
        <v>127750</v>
      </c>
      <c r="H44" s="26">
        <f t="shared" si="7"/>
        <v>0</v>
      </c>
      <c r="I44" s="236"/>
      <c r="J44" s="237">
        <f>+'&gt;50 (100)'!J44</f>
        <v>2.7E-4</v>
      </c>
      <c r="K44" s="25">
        <f t="shared" ref="K44" si="14">$F$18</f>
        <v>127750</v>
      </c>
      <c r="L44" s="26">
        <f t="shared" si="8"/>
        <v>34.4925</v>
      </c>
      <c r="M44" s="236"/>
      <c r="N44" s="30">
        <f t="shared" si="9"/>
        <v>34.4925</v>
      </c>
      <c r="O44" s="31" t="str">
        <f t="shared" si="10"/>
        <v/>
      </c>
      <c r="Q44" s="107"/>
      <c r="S44" s="107"/>
      <c r="U44" s="107"/>
      <c r="W44" s="107"/>
    </row>
    <row r="45" spans="2:23" x14ac:dyDescent="0.2">
      <c r="B45" s="49" t="s">
        <v>26</v>
      </c>
      <c r="C45" s="21"/>
      <c r="D45" s="22" t="s">
        <v>59</v>
      </c>
      <c r="E45" s="23"/>
      <c r="F45" s="50">
        <f>'&gt;50 (100)'!F45</f>
        <v>2.5260000000000001E-2</v>
      </c>
      <c r="G45" s="51">
        <f>+$F$19</f>
        <v>250</v>
      </c>
      <c r="H45" s="26">
        <f>G45*F45</f>
        <v>6.3150000000000004</v>
      </c>
      <c r="I45" s="27"/>
      <c r="J45" s="52">
        <f>'&gt;50 (100)'!J45</f>
        <v>2.632E-2</v>
      </c>
      <c r="K45" s="51">
        <f>+$F$19</f>
        <v>250</v>
      </c>
      <c r="L45" s="26">
        <f>K45*J45</f>
        <v>6.58</v>
      </c>
      <c r="M45" s="27"/>
      <c r="N45" s="30">
        <f>L45-H45</f>
        <v>0.26499999999999968</v>
      </c>
      <c r="O45" s="31">
        <f>IF((H45)=0,"",(N45/H45))</f>
        <v>4.1963578780680869E-2</v>
      </c>
      <c r="Q45" s="107"/>
      <c r="S45" s="107"/>
      <c r="U45" s="107"/>
      <c r="W45" s="107"/>
    </row>
    <row r="46" spans="2:23" x14ac:dyDescent="0.2">
      <c r="B46" s="49" t="s">
        <v>27</v>
      </c>
      <c r="C46" s="21"/>
      <c r="D46" s="22"/>
      <c r="E46" s="23"/>
      <c r="F46" s="53">
        <f>IF(ISBLANK(D16)=TRUE, 0, IF(D16="TOU", 0.65*$F$57+0.17*$F$58+0.18*$F$59, IF(AND(D16="non-TOU", G61&gt;0), F61,F60)))</f>
        <v>0.11139</v>
      </c>
      <c r="G46" s="54">
        <f>$F$18*(1+$F$72)-$F$18</f>
        <v>4279.625</v>
      </c>
      <c r="H46" s="26">
        <f t="shared" si="7"/>
        <v>476.70742875000002</v>
      </c>
      <c r="I46" s="27"/>
      <c r="J46" s="55">
        <f>0.65*$J$57+0.17*$J$58+0.18*$J$59</f>
        <v>0.11139</v>
      </c>
      <c r="K46" s="54">
        <f>$F$18*(1+$J$72)-$F$18</f>
        <v>4279.625</v>
      </c>
      <c r="L46" s="26">
        <f t="shared" si="8"/>
        <v>476.70742875000002</v>
      </c>
      <c r="M46" s="27"/>
      <c r="N46" s="30">
        <f t="shared" si="9"/>
        <v>0</v>
      </c>
      <c r="O46" s="31">
        <f t="shared" si="10"/>
        <v>0</v>
      </c>
      <c r="Q46" s="107"/>
      <c r="S46" s="107"/>
      <c r="U46" s="107"/>
      <c r="W46" s="107"/>
    </row>
    <row r="47" spans="2:23" x14ac:dyDescent="0.2">
      <c r="B47" s="49" t="s">
        <v>28</v>
      </c>
      <c r="C47" s="21"/>
      <c r="D47" s="22" t="s">
        <v>18</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5.5" x14ac:dyDescent="0.2">
      <c r="B48" s="56" t="s">
        <v>29</v>
      </c>
      <c r="C48" s="57"/>
      <c r="D48" s="57"/>
      <c r="E48" s="57"/>
      <c r="F48" s="58"/>
      <c r="G48" s="59"/>
      <c r="H48" s="60">
        <f>SUM(H40:H47)+H39</f>
        <v>1785.6346787500001</v>
      </c>
      <c r="I48" s="40"/>
      <c r="J48" s="59"/>
      <c r="K48" s="61"/>
      <c r="L48" s="60">
        <f>SUM(L40:L47)+L39</f>
        <v>1290.05492875</v>
      </c>
      <c r="M48" s="40"/>
      <c r="N48" s="43">
        <f t="shared" ref="N48:N65" si="15">L48-H48</f>
        <v>-495.5797500000001</v>
      </c>
      <c r="O48" s="44">
        <f t="shared" si="10"/>
        <v>-0.27753703257315843</v>
      </c>
      <c r="Q48" s="107"/>
      <c r="S48" s="107"/>
      <c r="U48" s="107"/>
      <c r="W48" s="107"/>
    </row>
    <row r="49" spans="2:23" x14ac:dyDescent="0.2">
      <c r="B49" s="27" t="s">
        <v>30</v>
      </c>
      <c r="C49" s="27"/>
      <c r="D49" s="62" t="s">
        <v>59</v>
      </c>
      <c r="E49" s="63"/>
      <c r="F49" s="28">
        <f>'&gt;50 (100)'!F49</f>
        <v>2.8607999999999998</v>
      </c>
      <c r="G49" s="64">
        <f>+$F$19</f>
        <v>250</v>
      </c>
      <c r="H49" s="26">
        <f>G49*F49</f>
        <v>715.19999999999993</v>
      </c>
      <c r="I49" s="27"/>
      <c r="J49" s="28">
        <f>'&gt;50 (100)'!J49</f>
        <v>2.8016000000000001</v>
      </c>
      <c r="K49" s="64">
        <f>+$F$19</f>
        <v>250</v>
      </c>
      <c r="L49" s="26">
        <f>K49*J49</f>
        <v>700.4</v>
      </c>
      <c r="M49" s="27"/>
      <c r="N49" s="30">
        <f t="shared" si="15"/>
        <v>-14.799999999999955</v>
      </c>
      <c r="O49" s="31">
        <f t="shared" si="10"/>
        <v>-2.0693512304250497E-2</v>
      </c>
      <c r="Q49" s="107"/>
      <c r="S49" s="107"/>
      <c r="U49" s="107"/>
      <c r="W49" s="107"/>
    </row>
    <row r="50" spans="2:23" ht="25.5" x14ac:dyDescent="0.2">
      <c r="B50" s="66" t="s">
        <v>31</v>
      </c>
      <c r="C50" s="27"/>
      <c r="D50" s="62" t="s">
        <v>59</v>
      </c>
      <c r="E50" s="63"/>
      <c r="F50" s="28">
        <f>'&gt;50 (100)'!F50</f>
        <v>1.8267</v>
      </c>
      <c r="G50" s="64">
        <f>G49</f>
        <v>250</v>
      </c>
      <c r="H50" s="26">
        <f>G50*F50</f>
        <v>456.67500000000001</v>
      </c>
      <c r="I50" s="27"/>
      <c r="J50" s="28">
        <f>'&gt;50 (100)'!J50</f>
        <v>1.8173999999999999</v>
      </c>
      <c r="K50" s="64">
        <f>K49</f>
        <v>250</v>
      </c>
      <c r="L50" s="26">
        <f>K50*J50</f>
        <v>454.34999999999997</v>
      </c>
      <c r="M50" s="27"/>
      <c r="N50" s="30">
        <f t="shared" si="15"/>
        <v>-2.3250000000000455</v>
      </c>
      <c r="O50" s="31">
        <f t="shared" si="10"/>
        <v>-5.0911479717524397E-3</v>
      </c>
      <c r="Q50" s="107"/>
      <c r="S50" s="107"/>
      <c r="U50" s="107"/>
      <c r="W50" s="107"/>
    </row>
    <row r="51" spans="2:23" ht="25.5" x14ac:dyDescent="0.2">
      <c r="B51" s="56" t="s">
        <v>32</v>
      </c>
      <c r="C51" s="35"/>
      <c r="D51" s="35"/>
      <c r="E51" s="35"/>
      <c r="F51" s="67"/>
      <c r="G51" s="59"/>
      <c r="H51" s="60">
        <f>SUM(H48:H50)</f>
        <v>2957.5096787500001</v>
      </c>
      <c r="I51" s="68"/>
      <c r="J51" s="69"/>
      <c r="K51" s="59"/>
      <c r="L51" s="60">
        <f>SUM(L48:L50)</f>
        <v>2444.8049287499998</v>
      </c>
      <c r="M51" s="68"/>
      <c r="N51" s="43">
        <f t="shared" si="15"/>
        <v>-512.70475000000033</v>
      </c>
      <c r="O51" s="44">
        <f t="shared" si="10"/>
        <v>-0.17335691365064151</v>
      </c>
      <c r="Q51" s="102"/>
      <c r="S51" s="102"/>
      <c r="U51" s="102"/>
      <c r="W51" s="102"/>
    </row>
    <row r="52" spans="2:23" ht="25.5" x14ac:dyDescent="0.2">
      <c r="B52" s="71" t="s">
        <v>33</v>
      </c>
      <c r="C52" s="21"/>
      <c r="D52" s="22" t="s">
        <v>21</v>
      </c>
      <c r="E52" s="23"/>
      <c r="F52" s="72">
        <f>'&gt;50 (100)'!F52</f>
        <v>3.5999999999999999E-3</v>
      </c>
      <c r="G52" s="64">
        <f>+$F$18+G46</f>
        <v>132029.625</v>
      </c>
      <c r="H52" s="73">
        <f t="shared" ref="H52:H59" si="16">G52*F52</f>
        <v>475.30664999999999</v>
      </c>
      <c r="I52" s="27"/>
      <c r="J52" s="72">
        <f>F52</f>
        <v>3.5999999999999999E-3</v>
      </c>
      <c r="K52" s="64">
        <f>+$F$18+K46</f>
        <v>132029.625</v>
      </c>
      <c r="L52" s="73">
        <f t="shared" ref="L52:L59" si="17">K52*J52</f>
        <v>475.30664999999999</v>
      </c>
      <c r="M52" s="27"/>
      <c r="N52" s="30">
        <f t="shared" si="15"/>
        <v>0</v>
      </c>
      <c r="O52" s="74">
        <f t="shared" si="10"/>
        <v>0</v>
      </c>
      <c r="Q52" s="107"/>
      <c r="S52" s="107"/>
      <c r="U52" s="107"/>
      <c r="W52" s="107"/>
    </row>
    <row r="53" spans="2:23" ht="25.5" x14ac:dyDescent="0.2">
      <c r="B53" s="71" t="s">
        <v>34</v>
      </c>
      <c r="C53" s="21"/>
      <c r="D53" s="22" t="s">
        <v>21</v>
      </c>
      <c r="E53" s="23"/>
      <c r="F53" s="72">
        <f>'&gt;50 (100)'!F53</f>
        <v>1.2999999999999999E-3</v>
      </c>
      <c r="G53" s="64">
        <f>G52</f>
        <v>132029.625</v>
      </c>
      <c r="H53" s="73">
        <f t="shared" si="16"/>
        <v>171.63851249999999</v>
      </c>
      <c r="I53" s="27"/>
      <c r="J53" s="72">
        <f>F53</f>
        <v>1.2999999999999999E-3</v>
      </c>
      <c r="K53" s="64">
        <f>K52</f>
        <v>132029.625</v>
      </c>
      <c r="L53" s="73">
        <f t="shared" si="17"/>
        <v>171.63851249999999</v>
      </c>
      <c r="M53" s="27"/>
      <c r="N53" s="30">
        <f t="shared" si="15"/>
        <v>0</v>
      </c>
      <c r="O53" s="74">
        <f t="shared" si="10"/>
        <v>0</v>
      </c>
      <c r="Q53" s="107"/>
      <c r="S53" s="107"/>
      <c r="U53" s="107"/>
      <c r="W53" s="107"/>
    </row>
    <row r="54" spans="2:23" x14ac:dyDescent="0.2">
      <c r="B54" s="21" t="s">
        <v>35</v>
      </c>
      <c r="C54" s="21"/>
      <c r="D54" s="22" t="s">
        <v>18</v>
      </c>
      <c r="E54" s="23"/>
      <c r="F54" s="72">
        <f>'&gt;50 (100)'!F54</f>
        <v>0.25</v>
      </c>
      <c r="G54" s="25">
        <v>1</v>
      </c>
      <c r="H54" s="73">
        <f t="shared" si="16"/>
        <v>0.25</v>
      </c>
      <c r="I54" s="27"/>
      <c r="J54" s="72">
        <f>'&gt;50 (100)'!J54</f>
        <v>0.25</v>
      </c>
      <c r="K54" s="29">
        <v>1</v>
      </c>
      <c r="L54" s="73">
        <f t="shared" si="17"/>
        <v>0.25</v>
      </c>
      <c r="M54" s="27"/>
      <c r="N54" s="30">
        <f t="shared" si="15"/>
        <v>0</v>
      </c>
      <c r="O54" s="74">
        <f t="shared" si="10"/>
        <v>0</v>
      </c>
      <c r="Q54" s="107"/>
      <c r="S54" s="107"/>
      <c r="U54" s="107"/>
      <c r="W54" s="107"/>
    </row>
    <row r="55" spans="2:23" x14ac:dyDescent="0.2">
      <c r="B55" s="21" t="s">
        <v>122</v>
      </c>
      <c r="C55" s="21"/>
      <c r="D55" s="22"/>
      <c r="E55" s="23"/>
      <c r="F55" s="72">
        <f>'Proposed Rates'!D221</f>
        <v>1.1000000000000001E-3</v>
      </c>
      <c r="G55" s="75">
        <f>G52</f>
        <v>132029.625</v>
      </c>
      <c r="H55" s="73">
        <f>G55*F55</f>
        <v>145.23258750000002</v>
      </c>
      <c r="I55" s="27"/>
      <c r="J55" s="72">
        <f>F55</f>
        <v>1.1000000000000001E-3</v>
      </c>
      <c r="K55" s="75">
        <f>K52</f>
        <v>132029.625</v>
      </c>
      <c r="L55" s="73">
        <f>K55*J55</f>
        <v>145.23258750000002</v>
      </c>
      <c r="M55" s="27"/>
      <c r="N55" s="30"/>
      <c r="O55" s="74"/>
      <c r="Q55" s="107"/>
      <c r="S55" s="107"/>
      <c r="U55" s="107"/>
      <c r="W55" s="107"/>
    </row>
    <row r="56" spans="2:23" x14ac:dyDescent="0.2">
      <c r="B56" s="21" t="s">
        <v>36</v>
      </c>
      <c r="C56" s="21"/>
      <c r="D56" s="22"/>
      <c r="E56" s="23"/>
      <c r="F56" s="72">
        <f>'&gt;50 (100)'!F56</f>
        <v>6.94E-3</v>
      </c>
      <c r="G56" s="75">
        <f>$F$18</f>
        <v>127750</v>
      </c>
      <c r="H56" s="73">
        <f t="shared" si="16"/>
        <v>886.58500000000004</v>
      </c>
      <c r="I56" s="27"/>
      <c r="J56" s="72">
        <f>+F56</f>
        <v>6.94E-3</v>
      </c>
      <c r="K56" s="76">
        <f>$F$18</f>
        <v>127750</v>
      </c>
      <c r="L56" s="73">
        <f t="shared" si="17"/>
        <v>886.58500000000004</v>
      </c>
      <c r="M56" s="27"/>
      <c r="N56" s="30">
        <f t="shared" si="15"/>
        <v>0</v>
      </c>
      <c r="O56" s="74">
        <f t="shared" si="10"/>
        <v>0</v>
      </c>
      <c r="Q56" s="107"/>
      <c r="S56" s="107"/>
      <c r="U56" s="107"/>
      <c r="W56" s="107"/>
    </row>
    <row r="57" spans="2:23" x14ac:dyDescent="0.2">
      <c r="B57" s="49" t="s">
        <v>37</v>
      </c>
      <c r="C57" s="21"/>
      <c r="D57" s="22"/>
      <c r="E57" s="23"/>
      <c r="F57" s="72">
        <f>'&gt;50 (100)'!F57</f>
        <v>8.6999999999999994E-2</v>
      </c>
      <c r="G57" s="77">
        <f>0.65*$F$18</f>
        <v>83037.5</v>
      </c>
      <c r="H57" s="73">
        <f t="shared" si="16"/>
        <v>7224.2624999999998</v>
      </c>
      <c r="I57" s="27"/>
      <c r="J57" s="72">
        <f>F57</f>
        <v>8.6999999999999994E-2</v>
      </c>
      <c r="K57" s="77">
        <f>$G$57</f>
        <v>83037.5</v>
      </c>
      <c r="L57" s="73">
        <f t="shared" si="17"/>
        <v>7224.2624999999998</v>
      </c>
      <c r="M57" s="27"/>
      <c r="N57" s="30">
        <f t="shared" si="15"/>
        <v>0</v>
      </c>
      <c r="O57" s="74">
        <f t="shared" si="10"/>
        <v>0</v>
      </c>
      <c r="Q57" s="107"/>
      <c r="S57" s="107"/>
      <c r="U57" s="107"/>
      <c r="W57" s="107"/>
    </row>
    <row r="58" spans="2:23" x14ac:dyDescent="0.2">
      <c r="B58" s="49" t="s">
        <v>38</v>
      </c>
      <c r="C58" s="21"/>
      <c r="D58" s="22"/>
      <c r="E58" s="23"/>
      <c r="F58" s="72">
        <f>'&gt;50 (100)'!F58</f>
        <v>0.13200000000000001</v>
      </c>
      <c r="G58" s="77">
        <f>0.17*$F$18</f>
        <v>21717.5</v>
      </c>
      <c r="H58" s="73">
        <f t="shared" si="16"/>
        <v>2866.71</v>
      </c>
      <c r="I58" s="27"/>
      <c r="J58" s="72">
        <f>F58</f>
        <v>0.13200000000000001</v>
      </c>
      <c r="K58" s="77">
        <f>$G$58</f>
        <v>21717.5</v>
      </c>
      <c r="L58" s="73">
        <f t="shared" si="17"/>
        <v>2866.71</v>
      </c>
      <c r="M58" s="27"/>
      <c r="N58" s="30">
        <f t="shared" si="15"/>
        <v>0</v>
      </c>
      <c r="O58" s="74">
        <f t="shared" si="10"/>
        <v>0</v>
      </c>
      <c r="Q58" s="107"/>
      <c r="S58" s="107"/>
      <c r="U58" s="107"/>
      <c r="W58" s="107"/>
    </row>
    <row r="59" spans="2:23" x14ac:dyDescent="0.2">
      <c r="B59" s="11" t="s">
        <v>39</v>
      </c>
      <c r="C59" s="21"/>
      <c r="D59" s="22"/>
      <c r="E59" s="23"/>
      <c r="F59" s="72">
        <f>'&gt;50 (100)'!F59</f>
        <v>0.18</v>
      </c>
      <c r="G59" s="77">
        <f>0.18*$F$18</f>
        <v>22995</v>
      </c>
      <c r="H59" s="73">
        <f t="shared" si="16"/>
        <v>4139.0999999999995</v>
      </c>
      <c r="I59" s="27"/>
      <c r="J59" s="72">
        <f>F59</f>
        <v>0.18</v>
      </c>
      <c r="K59" s="77">
        <f>$G$59</f>
        <v>22995</v>
      </c>
      <c r="L59" s="73">
        <f t="shared" si="17"/>
        <v>4139.0999999999995</v>
      </c>
      <c r="M59" s="27"/>
      <c r="N59" s="30">
        <f t="shared" si="15"/>
        <v>0</v>
      </c>
      <c r="O59" s="74">
        <f t="shared" si="10"/>
        <v>0</v>
      </c>
      <c r="Q59" s="107"/>
      <c r="S59" s="107"/>
      <c r="U59" s="107"/>
      <c r="W59" s="107"/>
    </row>
    <row r="60" spans="2:23" s="85" customFormat="1" x14ac:dyDescent="0.2">
      <c r="B60" s="78" t="s">
        <v>40</v>
      </c>
      <c r="C60" s="79"/>
      <c r="D60" s="80"/>
      <c r="E60" s="81"/>
      <c r="F60" s="72">
        <f>'&gt;50 (100)'!F60</f>
        <v>0.10299999999999999</v>
      </c>
      <c r="G60" s="82">
        <v>750</v>
      </c>
      <c r="H60" s="73">
        <f>G60*F60</f>
        <v>77.25</v>
      </c>
      <c r="I60" s="83"/>
      <c r="J60" s="72">
        <f>F60</f>
        <v>0.10299999999999999</v>
      </c>
      <c r="K60" s="82">
        <f>$G$60</f>
        <v>750</v>
      </c>
      <c r="L60" s="73">
        <f>K60*J60</f>
        <v>77.25</v>
      </c>
      <c r="M60" s="83"/>
      <c r="N60" s="84">
        <f t="shared" si="15"/>
        <v>0</v>
      </c>
      <c r="O60" s="74">
        <f t="shared" si="10"/>
        <v>0</v>
      </c>
      <c r="Q60" s="143"/>
      <c r="R60" s="212"/>
      <c r="S60" s="143"/>
      <c r="T60" s="212"/>
      <c r="U60" s="143"/>
      <c r="V60" s="212"/>
      <c r="W60" s="143"/>
    </row>
    <row r="61" spans="2:23" s="85" customFormat="1" ht="13.5" thickBot="1" x14ac:dyDescent="0.25">
      <c r="B61" s="78" t="s">
        <v>41</v>
      </c>
      <c r="C61" s="79"/>
      <c r="D61" s="80"/>
      <c r="E61" s="81"/>
      <c r="F61" s="72">
        <f>'&gt;50 (100)'!F61</f>
        <v>0.121</v>
      </c>
      <c r="G61" s="82">
        <f>F18-G60</f>
        <v>127000</v>
      </c>
      <c r="H61" s="73">
        <f>G61*F61</f>
        <v>15367</v>
      </c>
      <c r="I61" s="83"/>
      <c r="J61" s="72">
        <f>F61</f>
        <v>0.121</v>
      </c>
      <c r="K61" s="82">
        <f>$G$61</f>
        <v>127000</v>
      </c>
      <c r="L61" s="73">
        <f>K61*J61</f>
        <v>15367</v>
      </c>
      <c r="M61" s="83"/>
      <c r="N61" s="84">
        <f t="shared" si="15"/>
        <v>0</v>
      </c>
      <c r="O61" s="74">
        <f t="shared" si="10"/>
        <v>0</v>
      </c>
      <c r="Q61" s="143"/>
      <c r="R61" s="212"/>
      <c r="S61" s="143"/>
      <c r="T61" s="212"/>
      <c r="U61" s="143"/>
      <c r="V61" s="212"/>
      <c r="W61" s="143"/>
    </row>
    <row r="62" spans="2:23" ht="8.25" customHeight="1" thickBot="1" x14ac:dyDescent="0.25">
      <c r="B62" s="86"/>
      <c r="C62" s="87"/>
      <c r="D62" s="88"/>
      <c r="E62" s="87"/>
      <c r="F62" s="89"/>
      <c r="G62" s="90"/>
      <c r="H62" s="91"/>
      <c r="I62" s="92"/>
      <c r="J62" s="89"/>
      <c r="K62" s="93"/>
      <c r="L62" s="91"/>
      <c r="M62" s="92"/>
      <c r="N62" s="94"/>
      <c r="O62" s="95"/>
      <c r="Q62" s="107"/>
      <c r="S62" s="107"/>
      <c r="U62" s="107"/>
      <c r="W62" s="107"/>
    </row>
    <row r="63" spans="2:23" x14ac:dyDescent="0.2">
      <c r="B63" s="96" t="s">
        <v>42</v>
      </c>
      <c r="C63" s="21"/>
      <c r="D63" s="21"/>
      <c r="E63" s="21"/>
      <c r="F63" s="97"/>
      <c r="G63" s="98"/>
      <c r="H63" s="99">
        <f>SUM(H52:H59,H51)</f>
        <v>18866.594928749997</v>
      </c>
      <c r="I63" s="100"/>
      <c r="J63" s="101"/>
      <c r="K63" s="101"/>
      <c r="L63" s="99">
        <f>SUM(L52:L59,L51)</f>
        <v>18353.890178749996</v>
      </c>
      <c r="M63" s="102"/>
      <c r="N63" s="103">
        <f t="shared" ref="N63" si="18">L63-H63</f>
        <v>-512.70475000000079</v>
      </c>
      <c r="O63" s="104">
        <f t="shared" ref="O63" si="19">IF((H63)=0,"",(N63/H63))</f>
        <v>-2.7175266757792735E-2</v>
      </c>
      <c r="Q63" s="102"/>
      <c r="S63" s="102"/>
      <c r="U63" s="102"/>
      <c r="W63" s="102"/>
    </row>
    <row r="64" spans="2:23" x14ac:dyDescent="0.2">
      <c r="B64" s="105" t="s">
        <v>43</v>
      </c>
      <c r="C64" s="21"/>
      <c r="D64" s="21"/>
      <c r="E64" s="21"/>
      <c r="F64" s="106">
        <v>0.13</v>
      </c>
      <c r="G64" s="107"/>
      <c r="H64" s="108">
        <f>H63*F64</f>
        <v>2452.6573407374999</v>
      </c>
      <c r="I64" s="109"/>
      <c r="J64" s="110">
        <v>0.13</v>
      </c>
      <c r="K64" s="109"/>
      <c r="L64" s="111">
        <f>L63*J64</f>
        <v>2386.0057232374998</v>
      </c>
      <c r="M64" s="112"/>
      <c r="N64" s="113">
        <f t="shared" si="15"/>
        <v>-66.651617500000157</v>
      </c>
      <c r="O64" s="114">
        <f t="shared" si="10"/>
        <v>-2.7175266757792752E-2</v>
      </c>
      <c r="Q64" s="112"/>
      <c r="S64" s="112"/>
      <c r="U64" s="112"/>
      <c r="W64" s="112"/>
    </row>
    <row r="65" spans="1:23" ht="13.5" thickBot="1" x14ac:dyDescent="0.25">
      <c r="B65" s="115" t="s">
        <v>44</v>
      </c>
      <c r="C65" s="21"/>
      <c r="D65" s="21"/>
      <c r="E65" s="21"/>
      <c r="F65" s="116"/>
      <c r="G65" s="107"/>
      <c r="H65" s="99">
        <f>H63+H64</f>
        <v>21319.252269487497</v>
      </c>
      <c r="I65" s="109"/>
      <c r="J65" s="109"/>
      <c r="K65" s="109"/>
      <c r="L65" s="220">
        <f>L63+L64</f>
        <v>20739.895901987496</v>
      </c>
      <c r="M65" s="112"/>
      <c r="N65" s="103">
        <f t="shared" si="15"/>
        <v>-579.35636750000049</v>
      </c>
      <c r="O65" s="104">
        <f t="shared" si="10"/>
        <v>-2.7175266757792714E-2</v>
      </c>
      <c r="Q65" s="112"/>
      <c r="S65" s="112"/>
      <c r="U65" s="112"/>
      <c r="W65" s="112"/>
    </row>
    <row r="66" spans="1:23" s="85" customFormat="1" ht="8.25" customHeight="1" thickBot="1" x14ac:dyDescent="0.25">
      <c r="B66" s="117"/>
      <c r="C66" s="118"/>
      <c r="D66" s="119"/>
      <c r="E66" s="118"/>
      <c r="F66" s="89"/>
      <c r="G66" s="120"/>
      <c r="H66" s="91"/>
      <c r="I66" s="121"/>
      <c r="J66" s="89"/>
      <c r="K66" s="122"/>
      <c r="L66" s="91"/>
      <c r="M66" s="121"/>
      <c r="N66" s="123"/>
      <c r="O66" s="95"/>
      <c r="Q66" s="143"/>
      <c r="R66" s="212"/>
      <c r="S66" s="143"/>
      <c r="T66" s="212"/>
      <c r="U66" s="143"/>
      <c r="V66" s="212"/>
      <c r="W66" s="143"/>
    </row>
    <row r="67" spans="1:23" s="85" customFormat="1" x14ac:dyDescent="0.2">
      <c r="B67" s="124" t="s">
        <v>45</v>
      </c>
      <c r="C67" s="79"/>
      <c r="D67" s="79"/>
      <c r="E67" s="79"/>
      <c r="F67" s="125"/>
      <c r="G67" s="126"/>
      <c r="H67" s="127">
        <f>SUM(H60:H61,H51,H52:H56)</f>
        <v>20080.772428749999</v>
      </c>
      <c r="I67" s="128"/>
      <c r="J67" s="129"/>
      <c r="K67" s="129"/>
      <c r="L67" s="127">
        <f>SUM(L60:L61,L51,L52:L56)</f>
        <v>19568.067678749998</v>
      </c>
      <c r="M67" s="130"/>
      <c r="N67" s="131">
        <f t="shared" ref="N67:N69" si="20">L67-H67</f>
        <v>-512.70475000000079</v>
      </c>
      <c r="O67" s="104">
        <f t="shared" ref="O67:O69" si="21">IF((H67)=0,"",(N67/H67))</f>
        <v>-2.5532122921026298E-2</v>
      </c>
      <c r="Q67" s="130"/>
      <c r="R67" s="212"/>
      <c r="S67" s="130"/>
      <c r="T67" s="212"/>
      <c r="U67" s="130"/>
      <c r="V67" s="212"/>
      <c r="W67" s="130"/>
    </row>
    <row r="68" spans="1:23" s="85" customFormat="1" x14ac:dyDescent="0.2">
      <c r="B68" s="132" t="s">
        <v>43</v>
      </c>
      <c r="C68" s="79"/>
      <c r="D68" s="79"/>
      <c r="E68" s="79"/>
      <c r="F68" s="133">
        <v>0.13</v>
      </c>
      <c r="G68" s="126"/>
      <c r="H68" s="134">
        <f>H67*F68</f>
        <v>2610.5004157375001</v>
      </c>
      <c r="I68" s="135"/>
      <c r="J68" s="136">
        <v>0.13</v>
      </c>
      <c r="K68" s="137"/>
      <c r="L68" s="138">
        <f>L67*J68</f>
        <v>2543.8487982375</v>
      </c>
      <c r="M68" s="139"/>
      <c r="N68" s="140">
        <f t="shared" si="20"/>
        <v>-66.651617500000157</v>
      </c>
      <c r="O68" s="114">
        <f t="shared" si="21"/>
        <v>-2.5532122921026319E-2</v>
      </c>
      <c r="Q68" s="139"/>
      <c r="R68" s="212"/>
      <c r="S68" s="139"/>
      <c r="T68" s="212"/>
      <c r="U68" s="139"/>
      <c r="V68" s="212"/>
      <c r="W68" s="139"/>
    </row>
    <row r="69" spans="1:23" s="85" customFormat="1" ht="13.5" thickBot="1" x14ac:dyDescent="0.25">
      <c r="B69" s="141" t="s">
        <v>44</v>
      </c>
      <c r="C69" s="79"/>
      <c r="D69" s="79"/>
      <c r="E69" s="79"/>
      <c r="F69" s="142"/>
      <c r="G69" s="143"/>
      <c r="H69" s="127">
        <f>H67+H68</f>
        <v>22691.272844487499</v>
      </c>
      <c r="I69" s="135"/>
      <c r="J69" s="135"/>
      <c r="K69" s="135"/>
      <c r="L69" s="219">
        <f>L67+L68</f>
        <v>22111.916476987499</v>
      </c>
      <c r="M69" s="139"/>
      <c r="N69" s="131">
        <f t="shared" si="20"/>
        <v>-579.35636750000049</v>
      </c>
      <c r="O69" s="104">
        <f t="shared" si="21"/>
        <v>-2.553212292102628E-2</v>
      </c>
      <c r="Q69" s="139"/>
      <c r="R69" s="212"/>
      <c r="S69" s="139"/>
      <c r="T69" s="212"/>
      <c r="U69" s="139"/>
      <c r="V69" s="212"/>
      <c r="W69" s="139"/>
    </row>
    <row r="70" spans="1:23" s="85" customFormat="1" ht="8.25" customHeight="1" thickBot="1" x14ac:dyDescent="0.25">
      <c r="B70" s="117"/>
      <c r="C70" s="118"/>
      <c r="D70" s="119"/>
      <c r="E70" s="118"/>
      <c r="F70" s="144"/>
      <c r="G70" s="145"/>
      <c r="H70" s="146"/>
      <c r="I70" s="147"/>
      <c r="J70" s="144"/>
      <c r="K70" s="120"/>
      <c r="L70" s="148"/>
      <c r="M70" s="121"/>
      <c r="N70" s="149"/>
      <c r="O70" s="95"/>
      <c r="Q70" s="143"/>
      <c r="R70" s="212"/>
      <c r="S70" s="143"/>
      <c r="T70" s="212"/>
      <c r="U70" s="143"/>
      <c r="V70" s="212"/>
      <c r="W70" s="143"/>
    </row>
    <row r="71" spans="1:23" x14ac:dyDescent="0.2">
      <c r="L71" s="150"/>
    </row>
    <row r="72" spans="1:23" x14ac:dyDescent="0.2">
      <c r="B72" s="12" t="s">
        <v>46</v>
      </c>
      <c r="F72" s="151">
        <f>'&gt;50 (100)'!F72</f>
        <v>3.3500000000000002E-2</v>
      </c>
      <c r="J72" s="151">
        <f>+'Res (100)'!J70</f>
        <v>3.3500000000000002E-2</v>
      </c>
    </row>
    <row r="73" spans="1:23" ht="13.5" thickBot="1" x14ac:dyDescent="0.25"/>
    <row r="74" spans="1:23" ht="8.25" customHeight="1" thickBot="1" x14ac:dyDescent="0.25">
      <c r="B74" s="86"/>
      <c r="C74" s="87"/>
      <c r="D74" s="88"/>
      <c r="E74" s="87"/>
      <c r="F74" s="89"/>
      <c r="G74" s="90"/>
      <c r="H74" s="91"/>
      <c r="I74" s="92"/>
      <c r="J74" s="89"/>
      <c r="K74" s="93"/>
      <c r="L74" s="91"/>
      <c r="M74" s="92"/>
      <c r="N74" s="94"/>
      <c r="O74" s="95"/>
      <c r="Q74" s="107"/>
      <c r="S74" s="107"/>
      <c r="U74" s="107"/>
      <c r="W74" s="107"/>
    </row>
    <row r="75" spans="1:23" x14ac:dyDescent="0.2">
      <c r="B75" s="96" t="s">
        <v>42</v>
      </c>
      <c r="C75" s="21"/>
      <c r="D75" s="21"/>
      <c r="E75" s="21"/>
      <c r="F75" s="97"/>
      <c r="G75" s="98"/>
      <c r="H75" s="99">
        <f>+H63-H31-H40-H41-H42-H43</f>
        <v>18781.632678749993</v>
      </c>
      <c r="I75" s="100"/>
      <c r="J75" s="101"/>
      <c r="K75" s="101"/>
      <c r="L75" s="99">
        <f>+L63-L31-L40-L41-L42-L43</f>
        <v>18862.740178749998</v>
      </c>
      <c r="M75" s="102"/>
      <c r="N75" s="103">
        <f t="shared" ref="N75:N77" si="22">L75-H75</f>
        <v>81.10750000000553</v>
      </c>
      <c r="O75" s="104">
        <f t="shared" ref="O75:O77" si="23">IF((H75)=0,"",(N75/H75))</f>
        <v>4.3184477828582266E-3</v>
      </c>
      <c r="Q75" s="102"/>
      <c r="S75" s="102"/>
      <c r="U75" s="102"/>
      <c r="W75" s="102"/>
    </row>
    <row r="76" spans="1:23" x14ac:dyDescent="0.2">
      <c r="B76" s="105" t="s">
        <v>43</v>
      </c>
      <c r="C76" s="21"/>
      <c r="D76" s="21"/>
      <c r="E76" s="21"/>
      <c r="F76" s="106">
        <v>0.13</v>
      </c>
      <c r="G76" s="107"/>
      <c r="H76" s="108">
        <f>H75*F76</f>
        <v>2441.612248237499</v>
      </c>
      <c r="I76" s="109"/>
      <c r="J76" s="110">
        <v>0.13</v>
      </c>
      <c r="K76" s="109"/>
      <c r="L76" s="111">
        <f>L75*J76</f>
        <v>2452.1562232374999</v>
      </c>
      <c r="M76" s="112"/>
      <c r="N76" s="113">
        <f t="shared" si="22"/>
        <v>10.543975000000955</v>
      </c>
      <c r="O76" s="114">
        <f t="shared" si="23"/>
        <v>4.3184477828583237E-3</v>
      </c>
      <c r="Q76" s="112"/>
      <c r="S76" s="112"/>
      <c r="U76" s="112"/>
      <c r="W76" s="112"/>
    </row>
    <row r="77" spans="1:23" x14ac:dyDescent="0.2">
      <c r="B77" s="115" t="s">
        <v>44</v>
      </c>
      <c r="C77" s="21"/>
      <c r="D77" s="21"/>
      <c r="E77" s="21"/>
      <c r="F77" s="213"/>
      <c r="G77" s="214"/>
      <c r="H77" s="225">
        <f>H75+H76</f>
        <v>21223.244926987492</v>
      </c>
      <c r="I77" s="215"/>
      <c r="J77" s="215"/>
      <c r="K77" s="215"/>
      <c r="L77" s="224">
        <f>L75+L76</f>
        <v>21314.896401987498</v>
      </c>
      <c r="M77" s="216"/>
      <c r="N77" s="223">
        <f t="shared" si="22"/>
        <v>91.65147500000603</v>
      </c>
      <c r="O77" s="222">
        <f t="shared" si="23"/>
        <v>4.3184477828582171E-3</v>
      </c>
      <c r="Q77" s="112"/>
      <c r="S77" s="112"/>
      <c r="U77" s="112"/>
      <c r="W77" s="112"/>
    </row>
    <row r="78" spans="1:23" ht="13.5" customHeight="1" x14ac:dyDescent="0.2">
      <c r="Q78" s="210"/>
      <c r="R78" s="210"/>
      <c r="S78" s="6"/>
      <c r="T78" s="6"/>
      <c r="U78" s="6"/>
      <c r="V78" s="6"/>
      <c r="W78" s="6"/>
    </row>
    <row r="79" spans="1:23" ht="12" customHeight="1" x14ac:dyDescent="0.2">
      <c r="A79" s="6" t="s">
        <v>47</v>
      </c>
      <c r="Q79" s="210"/>
      <c r="R79" s="210"/>
      <c r="S79" s="6"/>
      <c r="T79" s="6"/>
      <c r="U79" s="6"/>
      <c r="V79" s="6"/>
      <c r="W79" s="6"/>
    </row>
    <row r="80" spans="1:23" x14ac:dyDescent="0.2">
      <c r="A80" s="6" t="s">
        <v>48</v>
      </c>
      <c r="Q80" s="210"/>
      <c r="R80" s="210"/>
      <c r="S80" s="6"/>
      <c r="T80" s="6"/>
      <c r="U80" s="6"/>
      <c r="V80" s="6"/>
      <c r="W80" s="6"/>
    </row>
    <row r="81" spans="1:23" x14ac:dyDescent="0.2">
      <c r="Q81" s="210"/>
      <c r="R81" s="210"/>
      <c r="S81" s="6"/>
      <c r="T81" s="6"/>
      <c r="U81" s="6"/>
      <c r="V81" s="6"/>
      <c r="W81" s="6"/>
    </row>
    <row r="82" spans="1:23" x14ac:dyDescent="0.2">
      <c r="A82" s="153" t="s">
        <v>136</v>
      </c>
      <c r="Q82" s="210"/>
      <c r="R82" s="210"/>
      <c r="S82" s="6"/>
      <c r="T82" s="6"/>
      <c r="U82" s="6"/>
      <c r="V82" s="6"/>
      <c r="W82" s="6"/>
    </row>
    <row r="83" spans="1:23" x14ac:dyDescent="0.2">
      <c r="A83" s="11" t="s">
        <v>49</v>
      </c>
      <c r="Q83" s="210"/>
      <c r="R83" s="210"/>
      <c r="S83" s="6"/>
      <c r="T83" s="6"/>
      <c r="U83" s="6"/>
      <c r="V83" s="6"/>
      <c r="W83" s="6"/>
    </row>
    <row r="84" spans="1:23" x14ac:dyDescent="0.2">
      <c r="Q84" s="210"/>
      <c r="R84" s="210"/>
      <c r="S84" s="6"/>
      <c r="T84" s="6"/>
      <c r="U84" s="6"/>
      <c r="V84" s="6"/>
      <c r="W84" s="6"/>
    </row>
    <row r="85" spans="1:23" x14ac:dyDescent="0.2">
      <c r="A85" s="6" t="s">
        <v>135</v>
      </c>
      <c r="Q85" s="210"/>
      <c r="R85" s="210"/>
      <c r="S85" s="6"/>
      <c r="T85" s="6"/>
      <c r="U85" s="6"/>
      <c r="V85" s="6"/>
      <c r="W85" s="6"/>
    </row>
    <row r="86" spans="1:23" x14ac:dyDescent="0.2">
      <c r="A86" s="6" t="s">
        <v>50</v>
      </c>
      <c r="Q86" s="210"/>
      <c r="R86" s="210"/>
      <c r="S86" s="6"/>
      <c r="T86" s="6"/>
      <c r="U86" s="6"/>
      <c r="V86" s="6"/>
      <c r="W86" s="6"/>
    </row>
    <row r="87" spans="1:23" x14ac:dyDescent="0.2">
      <c r="A87" s="6" t="s">
        <v>51</v>
      </c>
      <c r="Q87" s="210"/>
      <c r="R87" s="210"/>
      <c r="S87" s="6"/>
      <c r="T87" s="6"/>
      <c r="U87" s="6"/>
      <c r="V87" s="6"/>
      <c r="W87" s="6"/>
    </row>
    <row r="88" spans="1:23" x14ac:dyDescent="0.2">
      <c r="A88" s="6" t="s">
        <v>52</v>
      </c>
      <c r="Q88" s="210"/>
      <c r="R88" s="210"/>
      <c r="S88" s="6"/>
      <c r="T88" s="6"/>
      <c r="U88" s="6"/>
      <c r="V88" s="6"/>
      <c r="W88" s="6"/>
    </row>
    <row r="89" spans="1:23" x14ac:dyDescent="0.2">
      <c r="A89" s="6" t="s">
        <v>53</v>
      </c>
      <c r="Q89" s="210"/>
      <c r="R89" s="210"/>
      <c r="S89" s="6"/>
      <c r="T89" s="6"/>
      <c r="U89" s="6"/>
      <c r="V89" s="6"/>
      <c r="W89" s="6"/>
    </row>
    <row r="90" spans="1:23" x14ac:dyDescent="0.2">
      <c r="Q90" s="210"/>
      <c r="R90" s="210"/>
      <c r="S90" s="6"/>
      <c r="T90" s="6"/>
      <c r="U90" s="6"/>
      <c r="V90" s="6"/>
      <c r="W90" s="6"/>
    </row>
    <row r="91" spans="1:23" x14ac:dyDescent="0.2">
      <c r="A91" s="152"/>
      <c r="B91" s="6" t="s">
        <v>54</v>
      </c>
      <c r="Q91" s="210"/>
      <c r="R91" s="210"/>
      <c r="S91" s="6"/>
      <c r="T91" s="6"/>
      <c r="U91" s="6"/>
      <c r="V91" s="6"/>
      <c r="W91" s="6"/>
    </row>
    <row r="92" spans="1:23" x14ac:dyDescent="0.2">
      <c r="Q92" s="210"/>
      <c r="R92" s="210"/>
      <c r="S92" s="6"/>
      <c r="T92" s="6"/>
      <c r="U92" s="6"/>
      <c r="V92" s="6"/>
      <c r="W92" s="6"/>
    </row>
    <row r="93" spans="1:23" x14ac:dyDescent="0.2">
      <c r="B93" s="153" t="s">
        <v>55</v>
      </c>
      <c r="Q93" s="210"/>
      <c r="R93" s="210"/>
      <c r="S93" s="6"/>
      <c r="T93" s="6"/>
      <c r="U93" s="6"/>
      <c r="V93" s="6"/>
      <c r="W93"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0 D66 D23:D38 D52:D62 D74 D49:D50 D40:D47">
      <formula1>"Monthly, per kWh, per kW"</formula1>
    </dataValidation>
    <dataValidation type="list" allowBlank="1" showInputMessage="1" showErrorMessage="1" sqref="E49:E50 E70 E66 E52:E62 E23:E38 E40:E47 E74">
      <formula1>#REF!</formula1>
    </dataValidation>
  </dataValidations>
  <pageMargins left="0.74803149606299213" right="0.74803149606299213" top="0.98425196850393704" bottom="0.98425196850393704" header="0.51181102362204722" footer="0.51181102362204722"/>
  <pageSetup scale="55" fitToWidth="2"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6</xdr:col>
                    <xdr:colOff>466725</xdr:colOff>
                    <xdr:row>16</xdr:row>
                    <xdr:rowOff>190500</xdr:rowOff>
                  </from>
                  <to>
                    <xdr:col>9</xdr:col>
                    <xdr:colOff>180975</xdr:colOff>
                    <xdr:row>18</xdr:row>
                    <xdr:rowOff>47625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9</xdr:col>
                    <xdr:colOff>342900</xdr:colOff>
                    <xdr:row>16</xdr:row>
                    <xdr:rowOff>133350</xdr:rowOff>
                  </from>
                  <to>
                    <xdr:col>14</xdr:col>
                    <xdr:colOff>400050</xdr:colOff>
                    <xdr:row>18</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230"/>
  <sheetViews>
    <sheetView view="pageBreakPreview" zoomScale="85" zoomScaleNormal="90" zoomScaleSheetLayoutView="85" workbookViewId="0">
      <selection activeCell="C1" sqref="C1"/>
    </sheetView>
  </sheetViews>
  <sheetFormatPr defaultRowHeight="12.75" x14ac:dyDescent="0.2"/>
  <cols>
    <col min="1" max="1" width="7.140625" customWidth="1"/>
    <col min="3" max="3" width="50.42578125" customWidth="1"/>
    <col min="4" max="4" width="13.140625" style="168" customWidth="1"/>
    <col min="5" max="5" width="11.85546875" style="168" bestFit="1" customWidth="1"/>
    <col min="6" max="7" width="11.85546875" bestFit="1" customWidth="1"/>
    <col min="8" max="8" width="12.28515625" bestFit="1" customWidth="1"/>
    <col min="9" max="9" width="13.42578125" customWidth="1"/>
    <col min="10" max="10" width="13.140625" customWidth="1"/>
    <col min="11" max="11" width="11.140625" bestFit="1" customWidth="1"/>
    <col min="12" max="16" width="10.5703125" bestFit="1" customWidth="1"/>
    <col min="17" max="17" width="12.85546875" bestFit="1" customWidth="1"/>
    <col min="18" max="18" width="11.28515625" bestFit="1" customWidth="1"/>
  </cols>
  <sheetData>
    <row r="1" spans="1:9" ht="18" x14ac:dyDescent="0.25">
      <c r="C1" s="167" t="s">
        <v>137</v>
      </c>
    </row>
    <row r="2" spans="1:9" ht="18" x14ac:dyDescent="0.25">
      <c r="A2" s="182"/>
      <c r="C2" s="167" t="s">
        <v>0</v>
      </c>
    </row>
    <row r="4" spans="1:9" x14ac:dyDescent="0.2">
      <c r="A4" s="182" t="s">
        <v>90</v>
      </c>
    </row>
    <row r="5" spans="1:9" ht="15" x14ac:dyDescent="0.25">
      <c r="C5" s="182"/>
      <c r="D5" s="164" t="s">
        <v>127</v>
      </c>
      <c r="E5" s="164" t="s">
        <v>105</v>
      </c>
      <c r="F5" s="181"/>
      <c r="G5" s="179"/>
      <c r="H5" s="179"/>
      <c r="I5" s="179"/>
    </row>
    <row r="6" spans="1:9" ht="15" x14ac:dyDescent="0.25">
      <c r="B6" s="180" t="s">
        <v>89</v>
      </c>
      <c r="C6" s="179"/>
      <c r="D6" s="238">
        <v>2016</v>
      </c>
      <c r="E6" s="238">
        <v>2017</v>
      </c>
    </row>
    <row r="7" spans="1:9" ht="15" x14ac:dyDescent="0.25">
      <c r="C7" s="180" t="s">
        <v>2</v>
      </c>
      <c r="D7" s="239">
        <v>12.96</v>
      </c>
      <c r="E7" s="239">
        <v>16.600000000000001</v>
      </c>
      <c r="G7" s="188"/>
    </row>
    <row r="8" spans="1:9" ht="15" x14ac:dyDescent="0.25">
      <c r="C8" s="180" t="s">
        <v>81</v>
      </c>
      <c r="D8" s="239">
        <v>17.23</v>
      </c>
      <c r="E8" s="239">
        <v>17.89</v>
      </c>
    </row>
    <row r="9" spans="1:9" ht="15" x14ac:dyDescent="0.25">
      <c r="C9" s="180" t="s">
        <v>82</v>
      </c>
      <c r="D9" s="239">
        <v>200</v>
      </c>
      <c r="E9" s="239">
        <v>200</v>
      </c>
    </row>
    <row r="10" spans="1:9" ht="15" x14ac:dyDescent="0.25">
      <c r="C10" s="180" t="s">
        <v>83</v>
      </c>
      <c r="D10" s="239">
        <v>4193.93</v>
      </c>
      <c r="E10" s="239">
        <v>4193.93</v>
      </c>
    </row>
    <row r="11" spans="1:9" ht="15" x14ac:dyDescent="0.25">
      <c r="C11" s="180" t="s">
        <v>84</v>
      </c>
      <c r="D11" s="239">
        <v>15231.32</v>
      </c>
      <c r="E11" s="239">
        <v>15231.32</v>
      </c>
    </row>
    <row r="12" spans="1:9" ht="15" x14ac:dyDescent="0.25">
      <c r="C12" s="180" t="s">
        <v>65</v>
      </c>
      <c r="D12" s="239">
        <v>0.75</v>
      </c>
      <c r="E12" s="239">
        <v>0.8</v>
      </c>
    </row>
    <row r="13" spans="1:9" ht="15" x14ac:dyDescent="0.25">
      <c r="C13" s="180" t="s">
        <v>85</v>
      </c>
      <c r="D13" s="239">
        <v>2.98</v>
      </c>
      <c r="E13" s="239">
        <v>3.04</v>
      </c>
    </row>
    <row r="14" spans="1:9" ht="15" x14ac:dyDescent="0.25">
      <c r="C14" s="180" t="s">
        <v>63</v>
      </c>
      <c r="D14" s="239">
        <v>4.42</v>
      </c>
      <c r="E14" s="239">
        <v>4.5999999999999996</v>
      </c>
    </row>
    <row r="15" spans="1:9" ht="15" x14ac:dyDescent="0.25">
      <c r="C15" s="180" t="s">
        <v>86</v>
      </c>
      <c r="D15" s="239">
        <v>126.36</v>
      </c>
      <c r="E15" s="239">
        <v>132.38</v>
      </c>
    </row>
    <row r="16" spans="1:9" ht="15" x14ac:dyDescent="0.25">
      <c r="C16" s="180" t="s">
        <v>87</v>
      </c>
      <c r="D16" s="239">
        <v>126.36</v>
      </c>
      <c r="E16" s="239">
        <v>132.38</v>
      </c>
    </row>
    <row r="17" spans="2:6" ht="15" x14ac:dyDescent="0.25">
      <c r="C17" s="180" t="s">
        <v>88</v>
      </c>
      <c r="D17" s="239">
        <v>126.36</v>
      </c>
      <c r="E17" s="239">
        <v>132.38</v>
      </c>
    </row>
    <row r="18" spans="2:6" ht="13.5" customHeight="1" x14ac:dyDescent="0.2"/>
    <row r="19" spans="2:6" ht="15" x14ac:dyDescent="0.25">
      <c r="B19" s="178" t="s">
        <v>80</v>
      </c>
      <c r="C19" s="177"/>
      <c r="D19" s="240">
        <v>2016</v>
      </c>
      <c r="E19" s="240">
        <v>2017</v>
      </c>
    </row>
    <row r="20" spans="2:6" ht="15" x14ac:dyDescent="0.25">
      <c r="C20" s="178" t="s">
        <v>2</v>
      </c>
      <c r="D20" s="241">
        <v>1.9300000000000001E-2</v>
      </c>
      <c r="E20" s="241">
        <v>1.5100000000000001E-2</v>
      </c>
      <c r="F20" t="s">
        <v>93</v>
      </c>
    </row>
    <row r="21" spans="2:6" ht="15" x14ac:dyDescent="0.25">
      <c r="C21" s="178" t="s">
        <v>81</v>
      </c>
      <c r="D21" s="241">
        <v>2.1600000000000001E-2</v>
      </c>
      <c r="E21" s="241">
        <v>2.2700000000000001E-2</v>
      </c>
      <c r="F21" t="s">
        <v>93</v>
      </c>
    </row>
    <row r="22" spans="2:6" ht="15" x14ac:dyDescent="0.25">
      <c r="C22" s="178" t="s">
        <v>82</v>
      </c>
      <c r="D22" s="241">
        <v>4.0705999999999998</v>
      </c>
      <c r="E22" s="241">
        <v>4.3244999999999996</v>
      </c>
      <c r="F22" t="s">
        <v>94</v>
      </c>
    </row>
    <row r="23" spans="2:6" ht="15" x14ac:dyDescent="0.25">
      <c r="C23" s="178" t="s">
        <v>83</v>
      </c>
      <c r="D23" s="241">
        <v>3.6541000000000001</v>
      </c>
      <c r="E23" s="241">
        <v>3.9180999999999999</v>
      </c>
      <c r="F23" t="s">
        <v>94</v>
      </c>
    </row>
    <row r="24" spans="2:6" ht="15" x14ac:dyDescent="0.25">
      <c r="C24" s="178" t="s">
        <v>84</v>
      </c>
      <c r="D24" s="241">
        <v>3.4742000000000002</v>
      </c>
      <c r="E24" s="241">
        <v>3.7199</v>
      </c>
      <c r="F24" t="s">
        <v>94</v>
      </c>
    </row>
    <row r="25" spans="2:6" ht="15" x14ac:dyDescent="0.25">
      <c r="C25" s="178" t="s">
        <v>65</v>
      </c>
      <c r="D25" s="241">
        <v>5.3170999999999999</v>
      </c>
      <c r="E25" s="241">
        <v>5.6501000000000001</v>
      </c>
      <c r="F25" t="s">
        <v>94</v>
      </c>
    </row>
    <row r="26" spans="2:6" ht="15" x14ac:dyDescent="0.25">
      <c r="C26" s="178" t="s">
        <v>85</v>
      </c>
      <c r="D26" s="241">
        <v>11.399800000000001</v>
      </c>
      <c r="E26" s="241">
        <v>12.279400000000001</v>
      </c>
      <c r="F26" t="s">
        <v>94</v>
      </c>
    </row>
    <row r="27" spans="2:6" ht="15" x14ac:dyDescent="0.25">
      <c r="C27" s="178" t="s">
        <v>63</v>
      </c>
      <c r="D27" s="241">
        <v>2.1899999999999999E-2</v>
      </c>
      <c r="E27" s="241">
        <v>2.2599999999999999E-2</v>
      </c>
      <c r="F27" t="s">
        <v>93</v>
      </c>
    </row>
    <row r="28" spans="2:6" ht="15" x14ac:dyDescent="0.25">
      <c r="C28" s="178" t="s">
        <v>86</v>
      </c>
      <c r="D28" s="241">
        <v>1.6865000000000001</v>
      </c>
      <c r="E28" s="241">
        <v>1.7668999999999999</v>
      </c>
      <c r="F28" t="s">
        <v>94</v>
      </c>
    </row>
    <row r="29" spans="2:6" ht="15" x14ac:dyDescent="0.25">
      <c r="C29" s="178" t="s">
        <v>87</v>
      </c>
      <c r="D29" s="241">
        <v>1.5468999999999999</v>
      </c>
      <c r="E29" s="241">
        <v>1.6206</v>
      </c>
      <c r="F29" t="s">
        <v>94</v>
      </c>
    </row>
    <row r="30" spans="2:6" ht="15" x14ac:dyDescent="0.25">
      <c r="C30" s="178" t="s">
        <v>88</v>
      </c>
      <c r="D30" s="241">
        <v>1.7165999999999999</v>
      </c>
      <c r="E30" s="241">
        <v>1.7984</v>
      </c>
      <c r="F30" t="s">
        <v>94</v>
      </c>
    </row>
    <row r="33" spans="1:13" x14ac:dyDescent="0.2">
      <c r="A33" s="182" t="s">
        <v>25</v>
      </c>
    </row>
    <row r="34" spans="1:13" x14ac:dyDescent="0.2">
      <c r="A34" s="182"/>
    </row>
    <row r="35" spans="1:13" x14ac:dyDescent="0.2">
      <c r="B35" s="182" t="s">
        <v>91</v>
      </c>
    </row>
    <row r="36" spans="1:13" x14ac:dyDescent="0.2">
      <c r="B36" s="182" t="s">
        <v>92</v>
      </c>
    </row>
    <row r="37" spans="1:13" ht="15" x14ac:dyDescent="0.25">
      <c r="D37" s="164">
        <v>2016</v>
      </c>
      <c r="E37" s="240">
        <v>2017</v>
      </c>
      <c r="G37" s="178">
        <v>2016</v>
      </c>
    </row>
    <row r="38" spans="1:13" ht="15" x14ac:dyDescent="0.25">
      <c r="C38" s="178" t="s">
        <v>2</v>
      </c>
      <c r="D38" s="201">
        <f t="shared" ref="D38:E48" si="0">ROUND(G38,6)</f>
        <v>-8.2600000000000002E-4</v>
      </c>
      <c r="E38" s="242">
        <v>-1E-4</v>
      </c>
      <c r="F38" t="s">
        <v>93</v>
      </c>
      <c r="G38" s="199">
        <v>-8.2557074710757294E-4</v>
      </c>
      <c r="H38" s="202"/>
      <c r="M38" s="185"/>
    </row>
    <row r="39" spans="1:13" ht="15" x14ac:dyDescent="0.25">
      <c r="C39" s="178" t="s">
        <v>81</v>
      </c>
      <c r="D39" s="201">
        <f t="shared" si="0"/>
        <v>-8.4000000000000003E-4</v>
      </c>
      <c r="E39" s="242">
        <f t="shared" si="0"/>
        <v>0</v>
      </c>
      <c r="F39" t="s">
        <v>93</v>
      </c>
      <c r="G39" s="199">
        <v>-8.4045492749809886E-4</v>
      </c>
      <c r="H39" s="202"/>
      <c r="M39" s="185"/>
    </row>
    <row r="40" spans="1:13" ht="15" x14ac:dyDescent="0.25">
      <c r="C40" s="178" t="s">
        <v>82</v>
      </c>
      <c r="D40" s="201">
        <f t="shared" si="0"/>
        <v>-0.35541499999999998</v>
      </c>
      <c r="E40" s="242">
        <v>1.17E-2</v>
      </c>
      <c r="F40" s="203" t="s">
        <v>94</v>
      </c>
      <c r="G40" s="199">
        <v>-0.35541522908541784</v>
      </c>
      <c r="H40" s="202"/>
      <c r="M40" s="185"/>
    </row>
    <row r="41" spans="1:13" ht="15" x14ac:dyDescent="0.25">
      <c r="C41" s="178" t="s">
        <v>83</v>
      </c>
      <c r="D41" s="201">
        <f t="shared" si="0"/>
        <v>-0.395098</v>
      </c>
      <c r="E41" s="242">
        <v>1.2999999999999999E-2</v>
      </c>
      <c r="F41" s="203" t="s">
        <v>94</v>
      </c>
      <c r="G41" s="199">
        <v>-0.39509790202753231</v>
      </c>
      <c r="H41" s="202"/>
      <c r="M41" s="185"/>
    </row>
    <row r="42" spans="1:13" ht="15" x14ac:dyDescent="0.25">
      <c r="C42" s="178" t="s">
        <v>84</v>
      </c>
      <c r="D42" s="201">
        <f t="shared" si="0"/>
        <v>-0.46758</v>
      </c>
      <c r="E42" s="242">
        <v>1.54E-2</v>
      </c>
      <c r="F42" s="203" t="s">
        <v>94</v>
      </c>
      <c r="G42" s="199">
        <v>-0.46758008393084916</v>
      </c>
      <c r="H42" s="202"/>
      <c r="M42" s="185"/>
    </row>
    <row r="43" spans="1:13" ht="15" x14ac:dyDescent="0.25">
      <c r="C43" s="178" t="s">
        <v>65</v>
      </c>
      <c r="D43" s="201">
        <f t="shared" si="0"/>
        <v>-0.29901</v>
      </c>
      <c r="E43" s="242">
        <v>9.9000000000000008E-3</v>
      </c>
      <c r="F43" s="203" t="s">
        <v>94</v>
      </c>
      <c r="G43" s="199">
        <v>-0.29901020693667751</v>
      </c>
      <c r="H43" s="202"/>
    </row>
    <row r="44" spans="1:13" ht="15" x14ac:dyDescent="0.25">
      <c r="C44" s="178" t="s">
        <v>85</v>
      </c>
      <c r="D44" s="201">
        <f t="shared" si="0"/>
        <v>-0.18787899999999999</v>
      </c>
      <c r="E44" s="242">
        <v>6.1999999999999998E-3</v>
      </c>
      <c r="F44" s="203" t="s">
        <v>94</v>
      </c>
      <c r="G44" s="199">
        <v>-0.18787917851972716</v>
      </c>
      <c r="H44" s="202"/>
    </row>
    <row r="45" spans="1:13" ht="15" x14ac:dyDescent="0.25">
      <c r="C45" s="178" t="s">
        <v>63</v>
      </c>
      <c r="D45" s="201">
        <f t="shared" si="0"/>
        <v>-8.4500000000000005E-4</v>
      </c>
      <c r="E45" s="242">
        <f t="shared" si="0"/>
        <v>0</v>
      </c>
      <c r="F45" t="s">
        <v>93</v>
      </c>
      <c r="G45" s="199">
        <v>-8.4545630333877236E-4</v>
      </c>
      <c r="H45" s="202"/>
    </row>
    <row r="46" spans="1:13" ht="15" x14ac:dyDescent="0.25">
      <c r="C46" s="178" t="s">
        <v>86</v>
      </c>
      <c r="D46" s="201">
        <f t="shared" si="0"/>
        <v>0</v>
      </c>
      <c r="E46" s="242">
        <f t="shared" si="0"/>
        <v>0</v>
      </c>
      <c r="F46" t="s">
        <v>94</v>
      </c>
      <c r="G46" s="199">
        <v>0</v>
      </c>
      <c r="H46" s="202"/>
    </row>
    <row r="47" spans="1:13" ht="15" x14ac:dyDescent="0.25">
      <c r="C47" s="178" t="s">
        <v>87</v>
      </c>
      <c r="D47" s="201">
        <f t="shared" si="0"/>
        <v>0</v>
      </c>
      <c r="E47" s="242">
        <f t="shared" si="0"/>
        <v>0</v>
      </c>
      <c r="F47" t="s">
        <v>94</v>
      </c>
      <c r="G47" s="199">
        <v>0</v>
      </c>
      <c r="H47" s="202"/>
    </row>
    <row r="48" spans="1:13" ht="15" x14ac:dyDescent="0.25">
      <c r="C48" s="178" t="s">
        <v>88</v>
      </c>
      <c r="D48" s="201">
        <f t="shared" si="0"/>
        <v>0</v>
      </c>
      <c r="E48" s="242">
        <f t="shared" si="0"/>
        <v>0</v>
      </c>
      <c r="F48" t="s">
        <v>94</v>
      </c>
      <c r="G48" s="199">
        <v>0</v>
      </c>
      <c r="H48" s="202"/>
    </row>
    <row r="49" spans="2:14" ht="15" x14ac:dyDescent="0.25">
      <c r="C49" s="178"/>
      <c r="D49" s="240"/>
      <c r="H49" t="s">
        <v>95</v>
      </c>
    </row>
    <row r="50" spans="2:14" x14ac:dyDescent="0.2">
      <c r="B50" s="182" t="s">
        <v>97</v>
      </c>
    </row>
    <row r="51" spans="2:14" ht="15" x14ac:dyDescent="0.25">
      <c r="D51" s="164">
        <v>2016</v>
      </c>
      <c r="E51" s="240">
        <v>2017</v>
      </c>
      <c r="G51" s="178">
        <v>2016</v>
      </c>
    </row>
    <row r="52" spans="2:14" ht="15" x14ac:dyDescent="0.25">
      <c r="C52" s="178" t="s">
        <v>2</v>
      </c>
      <c r="D52" s="243">
        <f>ROUND(G52,2)</f>
        <v>0.32</v>
      </c>
      <c r="E52" s="243">
        <v>0.02</v>
      </c>
      <c r="F52" t="s">
        <v>98</v>
      </c>
      <c r="G52" s="183">
        <v>0.32048869838742094</v>
      </c>
      <c r="N52" s="185"/>
    </row>
    <row r="53" spans="2:14" ht="15" x14ac:dyDescent="0.25">
      <c r="C53" s="178" t="s">
        <v>81</v>
      </c>
      <c r="D53" s="244">
        <f t="shared" ref="D53:D62" si="1">ROUND(G53,5)</f>
        <v>6.9999999999999994E-5</v>
      </c>
      <c r="E53" s="242">
        <v>0</v>
      </c>
      <c r="F53" t="s">
        <v>93</v>
      </c>
      <c r="G53" s="184">
        <v>7.4476392382109792E-5</v>
      </c>
      <c r="N53" s="185"/>
    </row>
    <row r="54" spans="2:14" ht="15" x14ac:dyDescent="0.25">
      <c r="C54" s="178" t="s">
        <v>82</v>
      </c>
      <c r="D54" s="244">
        <f t="shared" si="1"/>
        <v>-2.9000000000000001E-2</v>
      </c>
      <c r="E54" s="242">
        <v>1.29E-2</v>
      </c>
      <c r="F54" t="s">
        <v>94</v>
      </c>
      <c r="G54" s="184">
        <v>-2.9001702913614539E-2</v>
      </c>
      <c r="N54" s="185"/>
    </row>
    <row r="55" spans="2:14" ht="15" x14ac:dyDescent="0.25">
      <c r="C55" s="178" t="s">
        <v>83</v>
      </c>
      <c r="D55" s="244">
        <f t="shared" si="1"/>
        <v>-3.4349999999999999E-2</v>
      </c>
      <c r="E55" s="242">
        <v>1.43E-2</v>
      </c>
      <c r="F55" t="s">
        <v>94</v>
      </c>
      <c r="G55" s="184">
        <v>-3.4351051465804083E-2</v>
      </c>
      <c r="N55" s="185"/>
    </row>
    <row r="56" spans="2:14" ht="15" x14ac:dyDescent="0.25">
      <c r="C56" s="178" t="s">
        <v>84</v>
      </c>
      <c r="D56" s="244">
        <f t="shared" si="1"/>
        <v>-4.0820000000000002E-2</v>
      </c>
      <c r="E56" s="242">
        <v>1.7000000000000001E-2</v>
      </c>
      <c r="F56" t="s">
        <v>94</v>
      </c>
      <c r="G56" s="184">
        <v>-4.0823810800967607E-2</v>
      </c>
      <c r="N56" s="185"/>
    </row>
    <row r="57" spans="2:14" ht="15" x14ac:dyDescent="0.25">
      <c r="C57" s="178" t="s">
        <v>65</v>
      </c>
      <c r="D57" s="244">
        <f t="shared" si="1"/>
        <v>-2.5850000000000001E-2</v>
      </c>
      <c r="E57" s="242">
        <v>1.09E-2</v>
      </c>
      <c r="F57" t="s">
        <v>94</v>
      </c>
      <c r="G57" s="184">
        <v>-2.5848149076659839E-2</v>
      </c>
      <c r="N57" s="185"/>
    </row>
    <row r="58" spans="2:14" ht="15" x14ac:dyDescent="0.25">
      <c r="C58" s="178" t="s">
        <v>85</v>
      </c>
      <c r="D58" s="244">
        <f t="shared" si="1"/>
        <v>3.9300000000000003E-3</v>
      </c>
      <c r="E58" s="242">
        <v>6.7999999999999996E-3</v>
      </c>
      <c r="F58" t="s">
        <v>94</v>
      </c>
      <c r="G58" s="184">
        <v>3.9337234520281216E-3</v>
      </c>
      <c r="N58" s="185"/>
    </row>
    <row r="59" spans="2:14" ht="15" x14ac:dyDescent="0.25">
      <c r="C59" s="178" t="s">
        <v>63</v>
      </c>
      <c r="D59" s="244">
        <f t="shared" si="1"/>
        <v>-4.0000000000000003E-5</v>
      </c>
      <c r="E59" s="242">
        <v>0</v>
      </c>
      <c r="F59" t="s">
        <v>93</v>
      </c>
      <c r="G59" s="184">
        <v>-3.851190448222467E-5</v>
      </c>
      <c r="N59" s="185"/>
    </row>
    <row r="60" spans="2:14" ht="15" x14ac:dyDescent="0.25">
      <c r="C60" s="178" t="s">
        <v>86</v>
      </c>
      <c r="D60" s="244">
        <f t="shared" si="1"/>
        <v>0</v>
      </c>
      <c r="E60" s="242">
        <v>0</v>
      </c>
      <c r="F60" t="s">
        <v>94</v>
      </c>
      <c r="G60" s="184">
        <v>0</v>
      </c>
      <c r="N60" s="185"/>
    </row>
    <row r="61" spans="2:14" ht="15" x14ac:dyDescent="0.25">
      <c r="C61" s="178" t="s">
        <v>87</v>
      </c>
      <c r="D61" s="244">
        <f t="shared" si="1"/>
        <v>0</v>
      </c>
      <c r="E61" s="242">
        <v>0</v>
      </c>
      <c r="F61" t="s">
        <v>94</v>
      </c>
      <c r="G61" s="184">
        <v>0</v>
      </c>
      <c r="N61" s="185"/>
    </row>
    <row r="62" spans="2:14" ht="15" x14ac:dyDescent="0.25">
      <c r="C62" s="178" t="s">
        <v>88</v>
      </c>
      <c r="D62" s="244">
        <f t="shared" si="1"/>
        <v>0</v>
      </c>
      <c r="E62" s="242">
        <v>0</v>
      </c>
      <c r="F62" t="s">
        <v>94</v>
      </c>
      <c r="G62" s="184">
        <v>0</v>
      </c>
      <c r="N62" s="185"/>
    </row>
    <row r="63" spans="2:14" ht="15" x14ac:dyDescent="0.25">
      <c r="C63" s="178"/>
      <c r="D63" s="240"/>
      <c r="H63" t="s">
        <v>95</v>
      </c>
    </row>
    <row r="65" spans="2:18" x14ac:dyDescent="0.2">
      <c r="B65" s="182" t="s">
        <v>99</v>
      </c>
    </row>
    <row r="66" spans="2:18" ht="15" x14ac:dyDescent="0.25">
      <c r="B66" s="182"/>
      <c r="D66" s="164">
        <v>2016</v>
      </c>
      <c r="E66" s="240">
        <v>2017</v>
      </c>
    </row>
    <row r="67" spans="2:18" ht="15" x14ac:dyDescent="0.25">
      <c r="C67" s="178" t="s">
        <v>2</v>
      </c>
      <c r="D67" s="244">
        <v>-2.0000000000000002E-5</v>
      </c>
      <c r="E67" s="244"/>
      <c r="F67" t="s">
        <v>93</v>
      </c>
      <c r="N67" s="185"/>
    </row>
    <row r="68" spans="2:18" ht="15" x14ac:dyDescent="0.25">
      <c r="C68" s="178" t="s">
        <v>81</v>
      </c>
      <c r="D68" s="244">
        <v>2.3000000000000001E-4</v>
      </c>
      <c r="E68" s="244"/>
      <c r="F68" t="s">
        <v>93</v>
      </c>
      <c r="N68" s="185"/>
    </row>
    <row r="69" spans="2:18" ht="15" x14ac:dyDescent="0.25">
      <c r="C69" s="178" t="s">
        <v>82</v>
      </c>
      <c r="D69" s="244">
        <v>-7.7109999999999998E-2</v>
      </c>
      <c r="E69" s="244"/>
      <c r="F69" t="s">
        <v>94</v>
      </c>
      <c r="N69" s="185"/>
    </row>
    <row r="70" spans="2:18" ht="15" x14ac:dyDescent="0.25">
      <c r="C70" s="178" t="s">
        <v>83</v>
      </c>
      <c r="D70" s="244">
        <v>-7.7109999999999998E-2</v>
      </c>
      <c r="E70" s="244"/>
      <c r="F70" t="s">
        <v>94</v>
      </c>
      <c r="N70" s="185"/>
    </row>
    <row r="71" spans="2:18" ht="15" x14ac:dyDescent="0.25">
      <c r="C71" s="178" t="s">
        <v>84</v>
      </c>
      <c r="D71" s="244">
        <v>-7.7109999999999998E-2</v>
      </c>
      <c r="E71" s="244"/>
      <c r="F71" t="s">
        <v>94</v>
      </c>
      <c r="N71" s="185"/>
    </row>
    <row r="72" spans="2:18" ht="15" x14ac:dyDescent="0.25">
      <c r="C72" s="178" t="s">
        <v>65</v>
      </c>
      <c r="D72" s="244">
        <v>-0.24051</v>
      </c>
      <c r="E72" s="244"/>
      <c r="F72" t="s">
        <v>94</v>
      </c>
      <c r="N72" s="185"/>
    </row>
    <row r="73" spans="2:18" ht="15" x14ac:dyDescent="0.25">
      <c r="C73" s="178" t="s">
        <v>85</v>
      </c>
      <c r="D73" s="244">
        <v>0</v>
      </c>
      <c r="E73" s="244"/>
      <c r="F73" t="s">
        <v>94</v>
      </c>
      <c r="N73" s="185"/>
    </row>
    <row r="74" spans="2:18" ht="15" x14ac:dyDescent="0.25">
      <c r="C74" s="178" t="s">
        <v>63</v>
      </c>
      <c r="D74" s="244">
        <v>-4.4000000000000002E-4</v>
      </c>
      <c r="E74" s="244"/>
      <c r="F74" t="s">
        <v>93</v>
      </c>
      <c r="N74" s="185"/>
    </row>
    <row r="75" spans="2:18" ht="15" x14ac:dyDescent="0.25">
      <c r="C75" s="178" t="s">
        <v>86</v>
      </c>
      <c r="D75" s="244">
        <v>0</v>
      </c>
      <c r="E75" s="244"/>
      <c r="F75" t="s">
        <v>94</v>
      </c>
      <c r="N75" s="185"/>
    </row>
    <row r="76" spans="2:18" ht="15" x14ac:dyDescent="0.25">
      <c r="C76" s="178" t="s">
        <v>87</v>
      </c>
      <c r="D76" s="244">
        <v>0</v>
      </c>
      <c r="E76" s="244"/>
      <c r="F76" t="s">
        <v>94</v>
      </c>
      <c r="N76" s="185"/>
    </row>
    <row r="77" spans="2:18" ht="15" x14ac:dyDescent="0.25">
      <c r="C77" s="178" t="s">
        <v>88</v>
      </c>
      <c r="D77" s="244">
        <v>0</v>
      </c>
      <c r="E77" s="244"/>
      <c r="F77" t="s">
        <v>94</v>
      </c>
      <c r="N77" s="185"/>
    </row>
    <row r="78" spans="2:18" ht="15" x14ac:dyDescent="0.25">
      <c r="C78" s="178"/>
      <c r="D78" s="240"/>
      <c r="H78" t="s">
        <v>95</v>
      </c>
      <c r="R78" s="185"/>
    </row>
    <row r="79" spans="2:18" x14ac:dyDescent="0.2">
      <c r="B79" s="182" t="s">
        <v>96</v>
      </c>
      <c r="D79" s="245"/>
    </row>
    <row r="80" spans="2:18" ht="15" x14ac:dyDescent="0.25">
      <c r="D80" s="164">
        <v>2016</v>
      </c>
      <c r="E80" s="240">
        <v>2017</v>
      </c>
    </row>
    <row r="81" spans="2:9" ht="15" x14ac:dyDescent="0.25">
      <c r="C81" s="256" t="s">
        <v>133</v>
      </c>
      <c r="D81" s="244">
        <v>2.81E-3</v>
      </c>
      <c r="E81" s="244">
        <v>-2.0999999999999999E-3</v>
      </c>
      <c r="F81" t="s">
        <v>93</v>
      </c>
      <c r="G81" s="178"/>
    </row>
    <row r="82" spans="2:9" ht="15" x14ac:dyDescent="0.25">
      <c r="C82" s="256" t="s">
        <v>134</v>
      </c>
      <c r="D82" s="244">
        <v>2.81E-3</v>
      </c>
      <c r="E82" s="244">
        <v>-2.0999999999999999E-3</v>
      </c>
      <c r="F82" t="s">
        <v>93</v>
      </c>
      <c r="G82" s="178"/>
    </row>
    <row r="83" spans="2:9" ht="15" x14ac:dyDescent="0.25">
      <c r="C83" s="178" t="s">
        <v>82</v>
      </c>
      <c r="D83" s="244">
        <v>2.81E-3</v>
      </c>
      <c r="E83" s="244">
        <v>-2.0999999999999999E-3</v>
      </c>
      <c r="F83" t="s">
        <v>93</v>
      </c>
      <c r="G83" s="178"/>
    </row>
    <row r="84" spans="2:9" ht="15" x14ac:dyDescent="0.25">
      <c r="C84" s="178" t="s">
        <v>83</v>
      </c>
      <c r="D84" s="244">
        <v>2.81E-3</v>
      </c>
      <c r="E84" s="244">
        <v>-2.0999999999999999E-3</v>
      </c>
      <c r="F84" t="s">
        <v>93</v>
      </c>
      <c r="G84" s="178"/>
    </row>
    <row r="85" spans="2:9" ht="15" x14ac:dyDescent="0.25">
      <c r="C85" s="178" t="s">
        <v>84</v>
      </c>
      <c r="D85" s="244">
        <v>2.81E-3</v>
      </c>
      <c r="E85" s="244">
        <v>-2.0999999999999999E-3</v>
      </c>
      <c r="F85" t="s">
        <v>93</v>
      </c>
      <c r="G85" s="178"/>
    </row>
    <row r="86" spans="2:9" ht="15" x14ac:dyDescent="0.25">
      <c r="C86" s="178" t="s">
        <v>65</v>
      </c>
      <c r="D86" s="244">
        <v>2.81E-3</v>
      </c>
      <c r="E86" s="244">
        <v>-2.0999999999999999E-3</v>
      </c>
      <c r="F86" t="s">
        <v>93</v>
      </c>
      <c r="G86" s="178"/>
    </row>
    <row r="87" spans="2:9" ht="15" x14ac:dyDescent="0.25">
      <c r="C87" s="178" t="s">
        <v>85</v>
      </c>
      <c r="D87" s="244">
        <v>0</v>
      </c>
      <c r="E87" s="244">
        <v>0</v>
      </c>
      <c r="F87" t="s">
        <v>93</v>
      </c>
      <c r="G87" s="178"/>
    </row>
    <row r="88" spans="2:9" ht="15" x14ac:dyDescent="0.25">
      <c r="C88" s="178" t="s">
        <v>63</v>
      </c>
      <c r="D88" s="244">
        <v>0</v>
      </c>
      <c r="E88" s="244">
        <v>0</v>
      </c>
      <c r="F88" t="s">
        <v>93</v>
      </c>
      <c r="G88" s="178"/>
    </row>
    <row r="89" spans="2:9" ht="15" x14ac:dyDescent="0.25">
      <c r="C89" s="178" t="s">
        <v>86</v>
      </c>
      <c r="D89" s="244">
        <v>0</v>
      </c>
      <c r="E89" s="244">
        <v>0</v>
      </c>
      <c r="F89" t="s">
        <v>93</v>
      </c>
      <c r="G89" s="178"/>
    </row>
    <row r="90" spans="2:9" ht="15" x14ac:dyDescent="0.25">
      <c r="C90" s="178" t="s">
        <v>87</v>
      </c>
      <c r="D90" s="244">
        <v>0</v>
      </c>
      <c r="E90" s="244">
        <v>0</v>
      </c>
      <c r="F90" t="s">
        <v>93</v>
      </c>
      <c r="G90" s="178"/>
    </row>
    <row r="91" spans="2:9" ht="15" x14ac:dyDescent="0.25">
      <c r="C91" s="178" t="s">
        <v>88</v>
      </c>
      <c r="D91" s="244">
        <v>0</v>
      </c>
      <c r="E91" s="244">
        <v>0</v>
      </c>
      <c r="F91" t="s">
        <v>93</v>
      </c>
      <c r="G91" s="178"/>
    </row>
    <row r="92" spans="2:9" x14ac:dyDescent="0.2">
      <c r="H92" t="s">
        <v>95</v>
      </c>
    </row>
    <row r="93" spans="2:9" x14ac:dyDescent="0.2">
      <c r="B93" s="182" t="s">
        <v>106</v>
      </c>
      <c r="C93" s="182"/>
      <c r="D93" s="164"/>
      <c r="E93" s="164"/>
      <c r="F93" s="182"/>
      <c r="G93" s="182"/>
      <c r="H93" s="182"/>
      <c r="I93" s="182"/>
    </row>
    <row r="94" spans="2:9" x14ac:dyDescent="0.2">
      <c r="B94" s="182" t="s">
        <v>107</v>
      </c>
      <c r="C94" s="182"/>
      <c r="D94" s="164"/>
      <c r="E94" s="164"/>
      <c r="F94" s="182"/>
      <c r="G94" s="182"/>
      <c r="H94" s="182"/>
      <c r="I94" s="182"/>
    </row>
    <row r="95" spans="2:9" x14ac:dyDescent="0.2">
      <c r="B95" s="182"/>
      <c r="C95" s="182"/>
      <c r="D95" s="164"/>
      <c r="E95" s="164"/>
      <c r="F95" s="182"/>
      <c r="G95" s="182"/>
      <c r="H95" s="182"/>
      <c r="I95" s="182"/>
    </row>
    <row r="96" spans="2:9" ht="15" x14ac:dyDescent="0.25">
      <c r="D96" s="164">
        <v>2016</v>
      </c>
      <c r="E96" s="240">
        <v>2017</v>
      </c>
      <c r="G96" s="178">
        <v>2016</v>
      </c>
    </row>
    <row r="97" spans="2:7" ht="15" x14ac:dyDescent="0.25">
      <c r="C97" s="178" t="s">
        <v>2</v>
      </c>
      <c r="D97" s="201">
        <f>ROUND(G97,6)</f>
        <v>-1.5089999999999999E-3</v>
      </c>
      <c r="E97" s="242">
        <v>-2.3E-3</v>
      </c>
      <c r="F97" t="s">
        <v>93</v>
      </c>
      <c r="G97" s="201">
        <v>-1.5094238012076005E-3</v>
      </c>
    </row>
    <row r="98" spans="2:7" ht="15" x14ac:dyDescent="0.25">
      <c r="C98" s="178" t="s">
        <v>81</v>
      </c>
      <c r="D98" s="201">
        <f t="shared" ref="D98:D107" si="2">ROUND(G98,6)</f>
        <v>-1.5089999999999999E-3</v>
      </c>
      <c r="E98" s="242">
        <v>-2.3E-3</v>
      </c>
      <c r="F98" t="s">
        <v>93</v>
      </c>
      <c r="G98" s="201">
        <v>-1.5094238012076002E-3</v>
      </c>
    </row>
    <row r="99" spans="2:7" ht="15" x14ac:dyDescent="0.25">
      <c r="C99" s="178" t="s">
        <v>82</v>
      </c>
      <c r="D99" s="201">
        <f t="shared" si="2"/>
        <v>-0.63453599999999999</v>
      </c>
      <c r="E99" s="242">
        <v>-0.9869</v>
      </c>
      <c r="F99" t="s">
        <v>94</v>
      </c>
      <c r="G99" s="201">
        <v>-0.63453569862169246</v>
      </c>
    </row>
    <row r="100" spans="2:7" ht="15" x14ac:dyDescent="0.25">
      <c r="C100" s="178" t="s">
        <v>83</v>
      </c>
      <c r="D100" s="201">
        <f t="shared" si="2"/>
        <v>-0.70538299999999998</v>
      </c>
      <c r="E100" s="242">
        <v>-1.0875999999999999</v>
      </c>
      <c r="F100" t="s">
        <v>94</v>
      </c>
      <c r="G100" s="201">
        <v>-0.70538261382928225</v>
      </c>
    </row>
    <row r="101" spans="2:7" ht="15" x14ac:dyDescent="0.25">
      <c r="C101" s="178" t="s">
        <v>84</v>
      </c>
      <c r="D101" s="201">
        <f t="shared" si="2"/>
        <v>-0.83478799999999997</v>
      </c>
      <c r="E101" s="242">
        <v>-1.2968999999999999</v>
      </c>
      <c r="F101" t="s">
        <v>94</v>
      </c>
      <c r="G101" s="201">
        <v>-0.83478768195198838</v>
      </c>
    </row>
    <row r="102" spans="2:7" ht="15" x14ac:dyDescent="0.25">
      <c r="C102" s="178" t="s">
        <v>65</v>
      </c>
      <c r="D102" s="201">
        <f t="shared" si="2"/>
        <v>-0.53383400000000003</v>
      </c>
      <c r="E102" s="242">
        <v>-0.83130000000000004</v>
      </c>
      <c r="F102" t="s">
        <v>94</v>
      </c>
      <c r="G102" s="201">
        <v>-0.53383376689236517</v>
      </c>
    </row>
    <row r="103" spans="2:7" ht="15" x14ac:dyDescent="0.25">
      <c r="C103" s="178" t="s">
        <v>85</v>
      </c>
      <c r="D103" s="201">
        <f t="shared" si="2"/>
        <v>-0.335428</v>
      </c>
      <c r="E103" s="242">
        <v>-0.52110000000000001</v>
      </c>
      <c r="F103" t="s">
        <v>94</v>
      </c>
      <c r="G103" s="201">
        <v>-0.33542751137946669</v>
      </c>
    </row>
    <row r="104" spans="2:7" ht="15" x14ac:dyDescent="0.25">
      <c r="C104" s="178" t="s">
        <v>63</v>
      </c>
      <c r="D104" s="201">
        <f t="shared" si="2"/>
        <v>-1.5089999999999999E-3</v>
      </c>
      <c r="E104" s="242">
        <v>-2.3E-3</v>
      </c>
      <c r="F104" t="s">
        <v>93</v>
      </c>
      <c r="G104" s="201">
        <v>-1.5094238012076002E-3</v>
      </c>
    </row>
    <row r="105" spans="2:7" ht="15" x14ac:dyDescent="0.25">
      <c r="C105" s="178" t="s">
        <v>86</v>
      </c>
      <c r="D105" s="201">
        <f t="shared" si="2"/>
        <v>0</v>
      </c>
      <c r="E105" s="242"/>
      <c r="F105" t="s">
        <v>94</v>
      </c>
      <c r="G105" s="201">
        <v>0</v>
      </c>
    </row>
    <row r="106" spans="2:7" ht="15" x14ac:dyDescent="0.25">
      <c r="C106" s="178" t="s">
        <v>87</v>
      </c>
      <c r="D106" s="201">
        <f t="shared" si="2"/>
        <v>0</v>
      </c>
      <c r="E106" s="242"/>
      <c r="F106" t="s">
        <v>94</v>
      </c>
      <c r="G106" s="201">
        <v>0</v>
      </c>
    </row>
    <row r="107" spans="2:7" ht="15" x14ac:dyDescent="0.25">
      <c r="C107" s="178" t="s">
        <v>88</v>
      </c>
      <c r="D107" s="201">
        <f t="shared" si="2"/>
        <v>0</v>
      </c>
      <c r="E107" s="242"/>
      <c r="F107" t="s">
        <v>94</v>
      </c>
      <c r="G107" s="201">
        <v>0</v>
      </c>
    </row>
    <row r="109" spans="2:7" ht="18.75" customHeight="1" x14ac:dyDescent="0.2">
      <c r="B109" s="182" t="s">
        <v>128</v>
      </c>
    </row>
    <row r="110" spans="2:7" ht="18.75" customHeight="1" x14ac:dyDescent="0.25">
      <c r="B110" s="182"/>
      <c r="D110" s="164">
        <v>2016</v>
      </c>
      <c r="E110" s="240">
        <v>2017</v>
      </c>
    </row>
    <row r="111" spans="2:7" ht="18.75" customHeight="1" x14ac:dyDescent="0.25">
      <c r="B111" s="182"/>
      <c r="C111" s="178" t="s">
        <v>2</v>
      </c>
      <c r="D111" s="242">
        <v>0</v>
      </c>
      <c r="E111" s="201">
        <v>2.7E-4</v>
      </c>
      <c r="F111" t="s">
        <v>93</v>
      </c>
    </row>
    <row r="112" spans="2:7" ht="18.75" customHeight="1" x14ac:dyDescent="0.25">
      <c r="B112" s="182"/>
      <c r="C112" s="178" t="s">
        <v>81</v>
      </c>
      <c r="D112" s="242">
        <v>0</v>
      </c>
      <c r="E112" s="201">
        <v>2.7E-4</v>
      </c>
      <c r="F112" t="s">
        <v>93</v>
      </c>
    </row>
    <row r="113" spans="2:9" ht="18.75" customHeight="1" x14ac:dyDescent="0.25">
      <c r="B113" s="182"/>
      <c r="C113" s="178" t="s">
        <v>82</v>
      </c>
      <c r="D113" s="242">
        <v>0</v>
      </c>
      <c r="E113" s="201">
        <v>2.7E-4</v>
      </c>
      <c r="F113" t="s">
        <v>93</v>
      </c>
    </row>
    <row r="114" spans="2:9" ht="18" x14ac:dyDescent="0.25">
      <c r="B114" s="235"/>
      <c r="C114" s="178" t="s">
        <v>83</v>
      </c>
      <c r="D114" s="242">
        <v>0</v>
      </c>
      <c r="E114" s="201">
        <v>2.7E-4</v>
      </c>
      <c r="F114" t="s">
        <v>93</v>
      </c>
    </row>
    <row r="115" spans="2:9" ht="18" x14ac:dyDescent="0.25">
      <c r="B115" s="235"/>
      <c r="C115" s="178" t="s">
        <v>84</v>
      </c>
      <c r="D115" s="242">
        <v>0</v>
      </c>
      <c r="E115" s="201">
        <v>2.7E-4</v>
      </c>
      <c r="F115" t="s">
        <v>93</v>
      </c>
    </row>
    <row r="116" spans="2:9" ht="18" x14ac:dyDescent="0.25">
      <c r="B116" s="235"/>
      <c r="C116" s="178" t="s">
        <v>65</v>
      </c>
      <c r="D116" s="242">
        <v>0</v>
      </c>
      <c r="E116" s="201">
        <v>2.7E-4</v>
      </c>
      <c r="F116" t="s">
        <v>93</v>
      </c>
    </row>
    <row r="117" spans="2:9" ht="18" x14ac:dyDescent="0.25">
      <c r="B117" s="235"/>
      <c r="C117" s="178" t="s">
        <v>85</v>
      </c>
      <c r="D117" s="242">
        <v>0</v>
      </c>
      <c r="E117" s="201">
        <v>2.7E-4</v>
      </c>
      <c r="F117" t="s">
        <v>93</v>
      </c>
    </row>
    <row r="118" spans="2:9" ht="18" x14ac:dyDescent="0.25">
      <c r="B118" s="235"/>
      <c r="C118" s="178" t="s">
        <v>63</v>
      </c>
      <c r="D118" s="242">
        <v>0</v>
      </c>
      <c r="E118" s="201">
        <v>2.7E-4</v>
      </c>
      <c r="F118" t="s">
        <v>93</v>
      </c>
    </row>
    <row r="119" spans="2:9" ht="18" x14ac:dyDescent="0.25">
      <c r="B119" s="235"/>
      <c r="C119" s="178" t="s">
        <v>86</v>
      </c>
      <c r="D119" s="242">
        <v>0</v>
      </c>
      <c r="E119" s="242">
        <v>0</v>
      </c>
      <c r="F119" t="s">
        <v>93</v>
      </c>
    </row>
    <row r="120" spans="2:9" ht="18" x14ac:dyDescent="0.25">
      <c r="B120" s="235"/>
      <c r="C120" s="178" t="s">
        <v>87</v>
      </c>
      <c r="D120" s="242">
        <v>0</v>
      </c>
      <c r="E120" s="242">
        <v>0</v>
      </c>
      <c r="F120" t="s">
        <v>93</v>
      </c>
    </row>
    <row r="121" spans="2:9" ht="18" x14ac:dyDescent="0.25">
      <c r="B121" s="235"/>
      <c r="C121" s="178" t="s">
        <v>88</v>
      </c>
      <c r="D121" s="242">
        <v>0</v>
      </c>
      <c r="E121" s="242">
        <v>0</v>
      </c>
      <c r="F121" t="s">
        <v>93</v>
      </c>
    </row>
    <row r="122" spans="2:9" ht="18" x14ac:dyDescent="0.25">
      <c r="B122" s="235"/>
      <c r="D122" s="246"/>
    </row>
    <row r="123" spans="2:9" x14ac:dyDescent="0.2">
      <c r="B123" s="182" t="s">
        <v>26</v>
      </c>
      <c r="C123" s="182"/>
      <c r="D123" s="164"/>
      <c r="E123" s="164"/>
      <c r="F123" s="182"/>
      <c r="G123" s="182"/>
      <c r="H123" s="182"/>
      <c r="I123" s="182"/>
    </row>
    <row r="124" spans="2:9" x14ac:dyDescent="0.2">
      <c r="B124" s="182"/>
      <c r="C124" s="182"/>
      <c r="D124" s="164"/>
      <c r="E124" s="164"/>
      <c r="F124" s="182"/>
      <c r="G124" s="182"/>
      <c r="H124" s="182"/>
      <c r="I124" s="182"/>
    </row>
    <row r="125" spans="2:9" ht="15" x14ac:dyDescent="0.25">
      <c r="D125" s="164">
        <v>2016</v>
      </c>
      <c r="E125" s="240">
        <v>2017</v>
      </c>
      <c r="G125" s="178"/>
    </row>
    <row r="126" spans="2:9" ht="15" x14ac:dyDescent="0.25">
      <c r="C126" s="178" t="s">
        <v>2</v>
      </c>
      <c r="D126" s="247">
        <v>6.9999999999999994E-5</v>
      </c>
      <c r="E126" s="247">
        <v>6.9999999999999994E-5</v>
      </c>
      <c r="G126" s="201"/>
    </row>
    <row r="127" spans="2:9" ht="15" x14ac:dyDescent="0.25">
      <c r="C127" s="178" t="s">
        <v>81</v>
      </c>
      <c r="D127" s="247">
        <v>6.0000000000000002E-5</v>
      </c>
      <c r="E127" s="247">
        <v>6.9999999999999994E-5</v>
      </c>
      <c r="G127" s="201"/>
    </row>
    <row r="128" spans="2:9" ht="15" x14ac:dyDescent="0.25">
      <c r="C128" s="178" t="s">
        <v>82</v>
      </c>
      <c r="D128" s="247">
        <v>2.5260000000000001E-2</v>
      </c>
      <c r="E128" s="247">
        <v>2.632E-2</v>
      </c>
      <c r="G128" s="201"/>
    </row>
    <row r="129" spans="2:11" ht="15" x14ac:dyDescent="0.25">
      <c r="C129" s="178" t="s">
        <v>83</v>
      </c>
      <c r="D129" s="248">
        <v>2.7E-2</v>
      </c>
      <c r="E129" s="247">
        <v>2.8129999999999999E-2</v>
      </c>
      <c r="G129" s="201"/>
    </row>
    <row r="130" spans="2:11" ht="15" x14ac:dyDescent="0.25">
      <c r="C130" s="178" t="s">
        <v>84</v>
      </c>
      <c r="D130" s="247">
        <v>3.04E-2</v>
      </c>
      <c r="E130" s="247">
        <v>3.168E-2</v>
      </c>
      <c r="G130" s="201"/>
    </row>
    <row r="131" spans="2:11" ht="15" x14ac:dyDescent="0.25">
      <c r="C131" s="178" t="s">
        <v>65</v>
      </c>
      <c r="D131" s="247">
        <v>1.916E-2</v>
      </c>
      <c r="E131" s="247">
        <v>1.9959999999999999E-2</v>
      </c>
      <c r="G131" s="201"/>
    </row>
    <row r="132" spans="2:11" ht="15" x14ac:dyDescent="0.25">
      <c r="C132" s="178" t="s">
        <v>85</v>
      </c>
      <c r="D132" s="247">
        <v>1.8769999999999998E-2</v>
      </c>
      <c r="E132" s="247">
        <v>1.9550000000000001E-2</v>
      </c>
      <c r="G132" s="201"/>
    </row>
    <row r="133" spans="2:11" ht="15" x14ac:dyDescent="0.25">
      <c r="C133" s="178" t="s">
        <v>63</v>
      </c>
      <c r="D133" s="247">
        <v>6.0000000000000002E-5</v>
      </c>
      <c r="E133" s="247">
        <v>6.9999999999999994E-5</v>
      </c>
      <c r="G133" s="201"/>
    </row>
    <row r="134" spans="2:11" ht="15" x14ac:dyDescent="0.25">
      <c r="C134" s="178" t="s">
        <v>86</v>
      </c>
      <c r="D134" s="249"/>
      <c r="E134" s="250"/>
      <c r="F134" s="203"/>
      <c r="G134" s="203"/>
      <c r="H134" s="203"/>
      <c r="I134" s="203"/>
      <c r="K134" s="201"/>
    </row>
    <row r="135" spans="2:11" ht="15" x14ac:dyDescent="0.25">
      <c r="C135" s="178" t="s">
        <v>87</v>
      </c>
      <c r="D135" s="249"/>
      <c r="E135" s="250"/>
      <c r="F135" s="203"/>
      <c r="G135" s="203"/>
      <c r="H135" s="203"/>
      <c r="I135" s="203"/>
      <c r="K135" s="201"/>
    </row>
    <row r="136" spans="2:11" ht="15" x14ac:dyDescent="0.25">
      <c r="C136" s="178" t="s">
        <v>88</v>
      </c>
      <c r="D136" s="249"/>
      <c r="E136" s="250"/>
      <c r="F136" s="203"/>
      <c r="G136" s="203"/>
      <c r="H136" s="203"/>
      <c r="I136" s="203"/>
      <c r="K136" s="201"/>
    </row>
    <row r="138" spans="2:11" x14ac:dyDescent="0.2">
      <c r="B138" s="182" t="s">
        <v>109</v>
      </c>
      <c r="C138" s="182"/>
      <c r="D138" s="164"/>
      <c r="E138" s="164"/>
      <c r="F138" s="182"/>
      <c r="G138" s="182"/>
      <c r="H138" s="182"/>
      <c r="I138" s="182"/>
    </row>
    <row r="139" spans="2:11" x14ac:dyDescent="0.2">
      <c r="B139" s="182"/>
      <c r="C139" s="182"/>
      <c r="D139" s="164"/>
      <c r="E139" s="164"/>
      <c r="F139" s="182"/>
      <c r="G139" s="182"/>
      <c r="H139" s="182"/>
      <c r="I139" s="182"/>
    </row>
    <row r="140" spans="2:11" ht="15" x14ac:dyDescent="0.25">
      <c r="D140" s="164">
        <v>2016</v>
      </c>
      <c r="E140" s="240">
        <v>2017</v>
      </c>
      <c r="F140" s="203"/>
      <c r="G140" s="203"/>
      <c r="H140" s="203"/>
      <c r="I140" s="203"/>
      <c r="K140" s="178"/>
    </row>
    <row r="141" spans="2:11" ht="15" x14ac:dyDescent="0.25">
      <c r="C141" s="178" t="s">
        <v>2</v>
      </c>
      <c r="D141" s="251">
        <v>0.79</v>
      </c>
      <c r="E141" s="251">
        <v>0.79</v>
      </c>
      <c r="F141" s="203"/>
      <c r="G141" s="203"/>
      <c r="H141" s="203"/>
      <c r="I141" s="203"/>
      <c r="K141" s="201"/>
    </row>
    <row r="142" spans="2:11" ht="15" x14ac:dyDescent="0.25">
      <c r="C142" s="178" t="s">
        <v>81</v>
      </c>
      <c r="D142" s="251">
        <v>0.79</v>
      </c>
      <c r="E142" s="251">
        <v>0.79</v>
      </c>
      <c r="F142" s="203"/>
      <c r="G142" s="203"/>
      <c r="H142" s="203"/>
      <c r="I142" s="203"/>
      <c r="K142" s="201"/>
    </row>
    <row r="143" spans="2:11" ht="15" x14ac:dyDescent="0.25">
      <c r="C143" s="178" t="s">
        <v>82</v>
      </c>
      <c r="D143" s="249"/>
      <c r="E143" s="250"/>
      <c r="F143" s="203"/>
      <c r="G143" s="203"/>
      <c r="H143" s="203"/>
      <c r="I143" s="203"/>
      <c r="K143" s="201"/>
    </row>
    <row r="144" spans="2:11" ht="15" x14ac:dyDescent="0.25">
      <c r="C144" s="178" t="s">
        <v>83</v>
      </c>
      <c r="D144" s="249"/>
      <c r="E144" s="250"/>
      <c r="F144" s="203"/>
      <c r="G144" s="203"/>
      <c r="H144" s="203"/>
      <c r="I144" s="203"/>
      <c r="K144" s="201"/>
    </row>
    <row r="145" spans="2:11" ht="15" x14ac:dyDescent="0.25">
      <c r="C145" s="178" t="s">
        <v>84</v>
      </c>
      <c r="D145" s="249"/>
      <c r="E145" s="250"/>
      <c r="F145" s="203"/>
      <c r="G145" s="203"/>
      <c r="H145" s="203"/>
      <c r="I145" s="203"/>
      <c r="K145" s="201"/>
    </row>
    <row r="146" spans="2:11" ht="15" x14ac:dyDescent="0.25">
      <c r="C146" s="178" t="s">
        <v>65</v>
      </c>
      <c r="D146" s="249"/>
      <c r="E146" s="250"/>
      <c r="F146" s="203"/>
      <c r="G146" s="203"/>
      <c r="H146" s="203"/>
      <c r="I146" s="203"/>
      <c r="K146" s="201"/>
    </row>
    <row r="147" spans="2:11" ht="15" x14ac:dyDescent="0.25">
      <c r="C147" s="178" t="s">
        <v>85</v>
      </c>
      <c r="D147" s="249"/>
      <c r="E147" s="250"/>
      <c r="F147" s="203"/>
      <c r="G147" s="203"/>
      <c r="H147" s="203"/>
      <c r="I147" s="203"/>
      <c r="K147" s="201"/>
    </row>
    <row r="148" spans="2:11" ht="15" x14ac:dyDescent="0.25">
      <c r="C148" s="178" t="s">
        <v>63</v>
      </c>
      <c r="D148" s="249"/>
      <c r="E148" s="250"/>
      <c r="F148" s="203"/>
      <c r="G148" s="203"/>
      <c r="H148" s="203"/>
      <c r="I148" s="203"/>
      <c r="K148" s="201"/>
    </row>
    <row r="149" spans="2:11" ht="15" x14ac:dyDescent="0.25">
      <c r="C149" s="178" t="s">
        <v>86</v>
      </c>
      <c r="D149" s="249"/>
      <c r="E149" s="250"/>
      <c r="K149" s="201"/>
    </row>
    <row r="150" spans="2:11" ht="15" x14ac:dyDescent="0.25">
      <c r="C150" s="178" t="s">
        <v>87</v>
      </c>
      <c r="D150" s="249"/>
      <c r="E150" s="250"/>
      <c r="F150" s="182"/>
      <c r="G150" s="182"/>
      <c r="H150" s="182"/>
      <c r="I150" s="182"/>
      <c r="K150" s="201"/>
    </row>
    <row r="151" spans="2:11" ht="15" x14ac:dyDescent="0.25">
      <c r="C151" s="178" t="s">
        <v>88</v>
      </c>
      <c r="D151" s="249"/>
      <c r="E151" s="250"/>
      <c r="F151" s="182"/>
      <c r="G151" s="182"/>
      <c r="H151" s="182"/>
      <c r="I151" s="182"/>
      <c r="K151" s="201"/>
    </row>
    <row r="152" spans="2:11" ht="15" x14ac:dyDescent="0.25">
      <c r="F152" s="178"/>
      <c r="G152" s="178"/>
      <c r="H152" s="178"/>
      <c r="I152" s="178"/>
    </row>
    <row r="153" spans="2:11" x14ac:dyDescent="0.2">
      <c r="B153" s="182" t="s">
        <v>110</v>
      </c>
      <c r="C153" s="182"/>
      <c r="D153" s="164"/>
      <c r="E153" s="164"/>
      <c r="F153" s="203"/>
      <c r="G153" s="203"/>
      <c r="H153" s="203"/>
      <c r="I153" s="203"/>
    </row>
    <row r="154" spans="2:11" x14ac:dyDescent="0.2">
      <c r="B154" s="182"/>
      <c r="C154" s="182"/>
      <c r="D154" s="164"/>
      <c r="E154" s="164"/>
      <c r="F154" s="203"/>
      <c r="G154" s="203"/>
      <c r="H154" s="203"/>
      <c r="I154" s="203"/>
    </row>
    <row r="155" spans="2:11" ht="15" x14ac:dyDescent="0.25">
      <c r="D155" s="164">
        <v>2016</v>
      </c>
      <c r="E155" s="240">
        <v>2017</v>
      </c>
      <c r="F155" s="203"/>
      <c r="G155" s="203"/>
      <c r="H155" s="203"/>
    </row>
    <row r="156" spans="2:11" ht="15" x14ac:dyDescent="0.25">
      <c r="C156" s="178" t="s">
        <v>2</v>
      </c>
      <c r="D156" s="248">
        <v>7.6E-3</v>
      </c>
      <c r="E156" s="245">
        <v>7.4000000000000003E-3</v>
      </c>
      <c r="F156" s="203"/>
      <c r="G156" s="203"/>
      <c r="H156" s="203"/>
    </row>
    <row r="157" spans="2:11" ht="15" x14ac:dyDescent="0.25">
      <c r="C157" s="178" t="s">
        <v>81</v>
      </c>
      <c r="D157" s="248">
        <v>6.8999999999999999E-3</v>
      </c>
      <c r="E157" s="245">
        <v>6.7999999999999996E-3</v>
      </c>
      <c r="F157" s="203"/>
      <c r="G157" s="203"/>
      <c r="H157" s="203"/>
    </row>
    <row r="158" spans="2:11" ht="15" x14ac:dyDescent="0.25">
      <c r="C158" s="178" t="s">
        <v>82</v>
      </c>
      <c r="D158" s="248">
        <v>2.8607999999999998</v>
      </c>
      <c r="E158" s="245">
        <v>2.8016000000000001</v>
      </c>
      <c r="F158" s="203"/>
      <c r="G158" s="203"/>
      <c r="H158" s="203"/>
    </row>
    <row r="159" spans="2:11" ht="15" x14ac:dyDescent="0.25">
      <c r="C159" s="178" t="s">
        <v>83</v>
      </c>
      <c r="D159" s="248">
        <v>2.9704000000000002</v>
      </c>
      <c r="E159" s="245">
        <v>2.9089</v>
      </c>
      <c r="F159" s="203"/>
      <c r="G159" s="203"/>
      <c r="H159" s="203"/>
    </row>
    <row r="160" spans="2:11" ht="15" x14ac:dyDescent="0.25">
      <c r="C160" s="178" t="s">
        <v>84</v>
      </c>
      <c r="D160" s="248">
        <v>3.2927</v>
      </c>
      <c r="E160" s="245">
        <v>3.2246000000000001</v>
      </c>
      <c r="F160" s="203"/>
      <c r="G160" s="203"/>
      <c r="H160" s="203"/>
    </row>
    <row r="161" spans="2:8" ht="15" x14ac:dyDescent="0.25">
      <c r="C161" s="178" t="s">
        <v>65</v>
      </c>
      <c r="D161" s="248">
        <v>2.1225000000000001</v>
      </c>
      <c r="E161" s="245">
        <v>2.0785999999999998</v>
      </c>
      <c r="F161" s="203"/>
      <c r="G161" s="203"/>
      <c r="H161" s="203"/>
    </row>
    <row r="162" spans="2:8" ht="15" x14ac:dyDescent="0.25">
      <c r="C162" s="178" t="s">
        <v>85</v>
      </c>
      <c r="D162" s="248">
        <v>2.1118000000000001</v>
      </c>
      <c r="E162" s="245">
        <v>2.0680999999999998</v>
      </c>
      <c r="F162" s="203"/>
      <c r="G162" s="203"/>
      <c r="H162" s="203"/>
    </row>
    <row r="163" spans="2:8" ht="15" x14ac:dyDescent="0.25">
      <c r="C163" s="178" t="s">
        <v>63</v>
      </c>
      <c r="D163" s="248">
        <v>6.8999999999999999E-3</v>
      </c>
      <c r="E163" s="245">
        <v>6.7999999999999996E-3</v>
      </c>
      <c r="F163" s="203"/>
      <c r="G163" s="203"/>
      <c r="H163" s="203"/>
    </row>
    <row r="164" spans="2:8" ht="15" x14ac:dyDescent="0.25">
      <c r="C164" s="178" t="s">
        <v>86</v>
      </c>
      <c r="D164" s="249"/>
      <c r="E164" s="250"/>
    </row>
    <row r="165" spans="2:8" ht="15" x14ac:dyDescent="0.25">
      <c r="C165" s="178" t="s">
        <v>87</v>
      </c>
      <c r="D165" s="249"/>
      <c r="E165" s="250"/>
      <c r="F165" s="182"/>
      <c r="G165" s="182"/>
      <c r="H165" s="182"/>
    </row>
    <row r="166" spans="2:8" ht="15" x14ac:dyDescent="0.25">
      <c r="C166" s="178" t="s">
        <v>88</v>
      </c>
      <c r="D166" s="249"/>
      <c r="E166" s="250"/>
      <c r="F166" s="182"/>
      <c r="G166" s="182"/>
      <c r="H166" s="182"/>
    </row>
    <row r="167" spans="2:8" ht="15" x14ac:dyDescent="0.25">
      <c r="F167" s="178"/>
      <c r="G167" s="178"/>
      <c r="H167" s="178"/>
    </row>
    <row r="168" spans="2:8" x14ac:dyDescent="0.2">
      <c r="B168" s="182" t="s">
        <v>111</v>
      </c>
      <c r="C168" s="182"/>
      <c r="D168" s="164"/>
      <c r="E168" s="164"/>
      <c r="F168" s="203"/>
      <c r="G168" s="203"/>
      <c r="H168" s="203"/>
    </row>
    <row r="169" spans="2:8" x14ac:dyDescent="0.2">
      <c r="B169" s="182"/>
      <c r="C169" s="182"/>
      <c r="D169" s="164"/>
      <c r="E169" s="164"/>
      <c r="F169" s="203"/>
      <c r="G169" s="203"/>
      <c r="H169" s="203"/>
    </row>
    <row r="170" spans="2:8" ht="15" x14ac:dyDescent="0.25">
      <c r="D170" s="164">
        <v>2016</v>
      </c>
      <c r="E170" s="240">
        <v>2017</v>
      </c>
      <c r="F170" s="203"/>
      <c r="G170" s="203"/>
      <c r="H170" s="203"/>
    </row>
    <row r="171" spans="2:8" ht="15" x14ac:dyDescent="0.25">
      <c r="C171" s="178" t="s">
        <v>2</v>
      </c>
      <c r="D171" s="248">
        <v>4.7000000000000002E-3</v>
      </c>
      <c r="E171" s="245">
        <v>4.7000000000000002E-3</v>
      </c>
      <c r="F171" s="203"/>
      <c r="G171" s="203"/>
      <c r="H171" s="203"/>
    </row>
    <row r="172" spans="2:8" ht="15" x14ac:dyDescent="0.25">
      <c r="C172" s="178" t="s">
        <v>81</v>
      </c>
      <c r="D172" s="248">
        <v>4.4999999999999997E-3</v>
      </c>
      <c r="E172" s="245">
        <v>4.4999999999999997E-3</v>
      </c>
      <c r="F172" s="203"/>
      <c r="G172" s="203"/>
      <c r="H172" s="203"/>
    </row>
    <row r="173" spans="2:8" ht="15" x14ac:dyDescent="0.25">
      <c r="C173" s="178" t="s">
        <v>82</v>
      </c>
      <c r="D173" s="248">
        <v>1.8267</v>
      </c>
      <c r="E173" s="245">
        <v>1.8173999999999999</v>
      </c>
      <c r="F173" s="203"/>
      <c r="G173" s="203"/>
      <c r="H173" s="203"/>
    </row>
    <row r="174" spans="2:8" ht="15" x14ac:dyDescent="0.25">
      <c r="C174" s="178" t="s">
        <v>83</v>
      </c>
      <c r="D174" s="248">
        <v>1.9521999999999999</v>
      </c>
      <c r="E174" s="245">
        <v>1.9422999999999999</v>
      </c>
      <c r="F174" s="203"/>
      <c r="G174" s="203"/>
      <c r="H174" s="203"/>
    </row>
    <row r="175" spans="2:8" ht="15" x14ac:dyDescent="0.25">
      <c r="C175" s="178" t="s">
        <v>84</v>
      </c>
      <c r="D175" s="248">
        <v>2.1983999999999999</v>
      </c>
      <c r="E175" s="245">
        <v>2.1873</v>
      </c>
      <c r="F175" s="203"/>
      <c r="G175" s="203"/>
      <c r="H175" s="203"/>
    </row>
    <row r="176" spans="2:8" ht="15" x14ac:dyDescent="0.25">
      <c r="C176" s="178" t="s">
        <v>65</v>
      </c>
      <c r="D176" s="248">
        <v>1.3853</v>
      </c>
      <c r="E176" s="245">
        <v>1.3783000000000001</v>
      </c>
      <c r="F176" s="203"/>
      <c r="G176" s="203"/>
      <c r="H176" s="203"/>
    </row>
    <row r="177" spans="2:11" ht="15" x14ac:dyDescent="0.25">
      <c r="C177" s="178" t="s">
        <v>85</v>
      </c>
      <c r="D177" s="248">
        <v>1.357</v>
      </c>
      <c r="E177" s="245">
        <v>1.3501000000000001</v>
      </c>
      <c r="F177" s="203"/>
      <c r="G177" s="203"/>
      <c r="H177" s="203"/>
    </row>
    <row r="178" spans="2:11" ht="15" x14ac:dyDescent="0.25">
      <c r="C178" s="178" t="s">
        <v>63</v>
      </c>
      <c r="D178" s="248">
        <v>4.4999999999999997E-3</v>
      </c>
      <c r="E178" s="245">
        <v>4.4999999999999997E-3</v>
      </c>
      <c r="F178" s="203"/>
      <c r="G178" s="203"/>
      <c r="H178" s="203"/>
    </row>
    <row r="179" spans="2:11" ht="15" x14ac:dyDescent="0.25">
      <c r="C179" s="178" t="s">
        <v>86</v>
      </c>
      <c r="D179" s="249"/>
      <c r="E179" s="250"/>
      <c r="K179" s="201"/>
    </row>
    <row r="180" spans="2:11" ht="15" x14ac:dyDescent="0.25">
      <c r="C180" s="178" t="s">
        <v>87</v>
      </c>
      <c r="D180" s="249"/>
      <c r="E180" s="250"/>
      <c r="F180" s="182"/>
      <c r="G180" s="182"/>
      <c r="H180" s="182"/>
      <c r="I180" s="182"/>
      <c r="K180" s="201"/>
    </row>
    <row r="181" spans="2:11" ht="15" x14ac:dyDescent="0.25">
      <c r="C181" s="178" t="s">
        <v>88</v>
      </c>
      <c r="D181" s="249"/>
      <c r="E181" s="250"/>
      <c r="F181" s="182"/>
      <c r="G181" s="182"/>
      <c r="H181" s="182"/>
      <c r="I181" s="182"/>
      <c r="K181" s="201"/>
    </row>
    <row r="182" spans="2:11" ht="15" x14ac:dyDescent="0.25">
      <c r="F182" s="178"/>
      <c r="G182" s="178"/>
      <c r="H182" s="178"/>
      <c r="I182" s="178"/>
    </row>
    <row r="183" spans="2:11" x14ac:dyDescent="0.2">
      <c r="B183" s="182" t="s">
        <v>132</v>
      </c>
      <c r="C183" s="182"/>
      <c r="D183" s="164"/>
      <c r="E183" s="164"/>
      <c r="F183" s="203"/>
      <c r="G183" s="203"/>
      <c r="H183" s="203"/>
      <c r="I183" s="203"/>
    </row>
    <row r="184" spans="2:11" x14ac:dyDescent="0.2">
      <c r="B184" s="182"/>
      <c r="C184" s="182"/>
      <c r="D184" s="164"/>
      <c r="E184" s="164"/>
      <c r="F184" s="203"/>
      <c r="G184" s="203"/>
      <c r="H184" s="203"/>
      <c r="I184" s="203"/>
    </row>
    <row r="185" spans="2:11" ht="15" x14ac:dyDescent="0.25">
      <c r="D185" s="164">
        <v>2016</v>
      </c>
      <c r="E185" s="240">
        <v>2017</v>
      </c>
      <c r="F185" s="182"/>
      <c r="G185" s="182"/>
      <c r="H185" s="182"/>
      <c r="I185" s="182"/>
      <c r="K185" s="178"/>
    </row>
    <row r="186" spans="2:11" ht="15" x14ac:dyDescent="0.25">
      <c r="C186" s="204" t="s">
        <v>112</v>
      </c>
      <c r="D186" s="248">
        <v>3.5999999999999999E-3</v>
      </c>
      <c r="E186" s="248">
        <v>3.5999999999999999E-3</v>
      </c>
      <c r="F186" s="182"/>
      <c r="G186" s="182"/>
      <c r="H186" s="182"/>
      <c r="I186" s="182"/>
      <c r="K186" s="201"/>
    </row>
    <row r="187" spans="2:11" ht="15" x14ac:dyDescent="0.25">
      <c r="C187" s="178"/>
      <c r="D187" s="249"/>
      <c r="E187" s="250"/>
      <c r="F187" s="178"/>
      <c r="G187" s="178"/>
      <c r="H187" s="178"/>
      <c r="I187" s="178"/>
      <c r="K187" s="201"/>
    </row>
    <row r="188" spans="2:11" x14ac:dyDescent="0.2">
      <c r="B188" s="182" t="s">
        <v>113</v>
      </c>
      <c r="C188" s="182"/>
      <c r="D188" s="164"/>
      <c r="E188" s="164"/>
      <c r="F188" s="203"/>
      <c r="G188" s="203"/>
      <c r="H188" s="203"/>
      <c r="I188" s="203"/>
    </row>
    <row r="189" spans="2:11" x14ac:dyDescent="0.2">
      <c r="B189" s="182"/>
      <c r="C189" s="182"/>
      <c r="D189" s="164"/>
      <c r="E189" s="164"/>
      <c r="F189" s="203"/>
      <c r="G189" s="203"/>
      <c r="H189" s="203"/>
      <c r="I189" s="203"/>
    </row>
    <row r="190" spans="2:11" ht="15" x14ac:dyDescent="0.25">
      <c r="D190" s="164">
        <v>2016</v>
      </c>
      <c r="E190" s="240">
        <v>2017</v>
      </c>
      <c r="F190" s="182"/>
      <c r="G190" s="182"/>
      <c r="H190" s="182"/>
      <c r="I190" s="182"/>
      <c r="K190" s="178"/>
    </row>
    <row r="191" spans="2:11" ht="15" x14ac:dyDescent="0.25">
      <c r="C191" s="204" t="s">
        <v>112</v>
      </c>
      <c r="D191" s="249">
        <v>1.2999999999999999E-3</v>
      </c>
      <c r="E191" s="248">
        <v>1.2999999999999999E-3</v>
      </c>
      <c r="F191" s="182"/>
      <c r="G191" s="182"/>
      <c r="H191" s="182"/>
      <c r="I191" s="182"/>
      <c r="K191" s="201"/>
    </row>
    <row r="192" spans="2:11" ht="15" x14ac:dyDescent="0.25">
      <c r="C192" s="178"/>
      <c r="D192" s="249"/>
      <c r="E192" s="250"/>
      <c r="F192" s="178"/>
      <c r="G192" s="178"/>
      <c r="H192" s="178"/>
      <c r="I192" s="178"/>
      <c r="K192" s="201"/>
    </row>
    <row r="193" spans="2:11" x14ac:dyDescent="0.2">
      <c r="B193" s="182" t="s">
        <v>35</v>
      </c>
      <c r="C193" s="182"/>
      <c r="D193" s="164"/>
      <c r="E193" s="164"/>
      <c r="F193" s="203"/>
      <c r="G193" s="203"/>
      <c r="H193" s="203"/>
      <c r="I193" s="203"/>
    </row>
    <row r="194" spans="2:11" x14ac:dyDescent="0.2">
      <c r="B194" s="182"/>
      <c r="C194" s="182"/>
      <c r="D194" s="164"/>
      <c r="E194" s="164"/>
      <c r="F194" s="203"/>
      <c r="G194" s="203"/>
      <c r="H194" s="203"/>
      <c r="I194" s="203"/>
    </row>
    <row r="195" spans="2:11" ht="15" x14ac:dyDescent="0.25">
      <c r="D195" s="164">
        <v>2016</v>
      </c>
      <c r="E195" s="240">
        <v>2017</v>
      </c>
      <c r="F195" s="182"/>
      <c r="G195" s="182"/>
      <c r="H195" s="182"/>
      <c r="I195" s="182"/>
      <c r="K195" s="178"/>
    </row>
    <row r="196" spans="2:11" ht="15" x14ac:dyDescent="0.25">
      <c r="C196" s="255" t="s">
        <v>131</v>
      </c>
      <c r="D196" s="249">
        <v>0.25</v>
      </c>
      <c r="E196" s="251">
        <v>0.25</v>
      </c>
      <c r="F196" s="182"/>
      <c r="G196" s="182"/>
      <c r="H196" s="182"/>
      <c r="I196" s="182"/>
      <c r="K196" s="201"/>
    </row>
    <row r="197" spans="2:11" ht="15" x14ac:dyDescent="0.25">
      <c r="C197" s="178"/>
      <c r="D197" s="249"/>
      <c r="E197" s="250"/>
      <c r="F197" s="178"/>
      <c r="G197" s="178"/>
      <c r="H197" s="178"/>
      <c r="I197" s="178"/>
      <c r="K197" s="201"/>
    </row>
    <row r="198" spans="2:11" x14ac:dyDescent="0.2">
      <c r="B198" s="182" t="s">
        <v>130</v>
      </c>
      <c r="C198" s="182"/>
      <c r="D198" s="164"/>
      <c r="E198" s="164"/>
      <c r="F198" s="203"/>
      <c r="G198" s="203"/>
      <c r="H198" s="203"/>
      <c r="I198" s="203"/>
    </row>
    <row r="199" spans="2:11" x14ac:dyDescent="0.2">
      <c r="B199" s="182"/>
      <c r="C199" s="182"/>
      <c r="D199" s="164"/>
      <c r="E199" s="164"/>
      <c r="F199" s="203"/>
      <c r="G199" s="203"/>
      <c r="H199" s="203"/>
      <c r="I199" s="203"/>
    </row>
    <row r="200" spans="2:11" ht="15" x14ac:dyDescent="0.25">
      <c r="D200" s="164">
        <v>2016</v>
      </c>
      <c r="E200" s="240">
        <v>2017</v>
      </c>
      <c r="F200" s="203"/>
      <c r="G200" s="203"/>
      <c r="H200" s="203"/>
      <c r="I200" s="203"/>
      <c r="K200" s="178"/>
    </row>
    <row r="201" spans="2:11" ht="15" x14ac:dyDescent="0.25">
      <c r="C201" s="178" t="s">
        <v>2</v>
      </c>
      <c r="D201" s="248">
        <v>3.3500000000000002E-2</v>
      </c>
      <c r="E201" s="248">
        <v>3.3500000000000002E-2</v>
      </c>
      <c r="F201" s="203"/>
      <c r="G201" s="203"/>
      <c r="H201" s="203"/>
      <c r="I201" s="203"/>
      <c r="K201" s="201"/>
    </row>
    <row r="202" spans="2:11" ht="15" x14ac:dyDescent="0.25">
      <c r="C202" s="178" t="s">
        <v>81</v>
      </c>
      <c r="D202" s="248">
        <v>3.3500000000000002E-2</v>
      </c>
      <c r="E202" s="248">
        <v>3.3500000000000002E-2</v>
      </c>
      <c r="F202" s="203"/>
      <c r="G202" s="203"/>
      <c r="H202" s="203"/>
      <c r="I202" s="203"/>
      <c r="K202" s="201"/>
    </row>
    <row r="203" spans="2:11" ht="15" x14ac:dyDescent="0.25">
      <c r="C203" s="178" t="s">
        <v>82</v>
      </c>
      <c r="D203" s="248">
        <v>3.3500000000000002E-2</v>
      </c>
      <c r="E203" s="248">
        <v>3.3500000000000002E-2</v>
      </c>
      <c r="F203" s="203"/>
      <c r="G203" s="203"/>
      <c r="H203" s="203"/>
      <c r="I203" s="203"/>
      <c r="K203" s="201"/>
    </row>
    <row r="204" spans="2:11" ht="15" x14ac:dyDescent="0.25">
      <c r="C204" s="178" t="s">
        <v>83</v>
      </c>
      <c r="D204" s="248">
        <v>3.3500000000000002E-2</v>
      </c>
      <c r="E204" s="248">
        <v>3.3500000000000002E-2</v>
      </c>
      <c r="F204" s="203"/>
      <c r="G204" s="203"/>
      <c r="H204" s="203"/>
      <c r="I204" s="203"/>
      <c r="K204" s="201"/>
    </row>
    <row r="205" spans="2:11" ht="15" x14ac:dyDescent="0.25">
      <c r="C205" s="178" t="s">
        <v>84</v>
      </c>
      <c r="D205" s="248">
        <v>6.1999999999999998E-3</v>
      </c>
      <c r="E205" s="248">
        <v>6.1999999999999998E-3</v>
      </c>
      <c r="F205" s="203"/>
      <c r="G205" s="203"/>
      <c r="H205" s="203"/>
      <c r="I205" s="203"/>
      <c r="K205" s="201"/>
    </row>
    <row r="206" spans="2:11" ht="15" x14ac:dyDescent="0.25">
      <c r="C206" s="178" t="s">
        <v>65</v>
      </c>
      <c r="D206" s="248">
        <v>3.3500000000000002E-2</v>
      </c>
      <c r="E206" s="248">
        <v>3.3500000000000002E-2</v>
      </c>
      <c r="F206" s="203"/>
      <c r="G206" s="203"/>
      <c r="H206" s="203"/>
      <c r="I206" s="203"/>
      <c r="K206" s="201"/>
    </row>
    <row r="207" spans="2:11" ht="15" x14ac:dyDescent="0.25">
      <c r="C207" s="178" t="s">
        <v>85</v>
      </c>
      <c r="D207" s="248">
        <v>3.3500000000000002E-2</v>
      </c>
      <c r="E207" s="248">
        <v>3.3500000000000002E-2</v>
      </c>
      <c r="F207" s="203"/>
      <c r="G207" s="203"/>
      <c r="H207" s="203"/>
      <c r="I207" s="203"/>
      <c r="K207" s="201"/>
    </row>
    <row r="208" spans="2:11" ht="15" x14ac:dyDescent="0.25">
      <c r="C208" s="178" t="s">
        <v>63</v>
      </c>
      <c r="D208" s="248">
        <v>3.3500000000000002E-2</v>
      </c>
      <c r="E208" s="248">
        <v>3.3500000000000002E-2</v>
      </c>
      <c r="F208" s="203"/>
      <c r="G208" s="203"/>
      <c r="H208" s="203"/>
      <c r="I208" s="203"/>
      <c r="K208" s="201"/>
    </row>
    <row r="209" spans="2:11" ht="15" x14ac:dyDescent="0.25">
      <c r="C209" s="178" t="s">
        <v>86</v>
      </c>
      <c r="D209" s="249"/>
      <c r="E209" s="250"/>
      <c r="K209" s="201"/>
    </row>
    <row r="210" spans="2:11" ht="15" x14ac:dyDescent="0.25">
      <c r="C210" s="178" t="s">
        <v>87</v>
      </c>
      <c r="D210" s="249"/>
      <c r="E210" s="250"/>
      <c r="F210" s="182"/>
      <c r="G210" s="182"/>
      <c r="H210" s="182"/>
      <c r="I210" s="182"/>
      <c r="K210" s="201"/>
    </row>
    <row r="211" spans="2:11" ht="15" x14ac:dyDescent="0.25">
      <c r="C211" s="178" t="s">
        <v>88</v>
      </c>
      <c r="D211" s="249"/>
      <c r="E211" s="250"/>
      <c r="F211" s="182"/>
      <c r="G211" s="182"/>
      <c r="H211" s="182"/>
      <c r="I211" s="182"/>
      <c r="K211" s="201"/>
    </row>
    <row r="212" spans="2:11" ht="15" x14ac:dyDescent="0.25">
      <c r="F212" s="178"/>
      <c r="G212" s="178"/>
      <c r="H212" s="178"/>
      <c r="I212" s="178"/>
    </row>
    <row r="213" spans="2:11" x14ac:dyDescent="0.2">
      <c r="B213" s="182" t="s">
        <v>114</v>
      </c>
      <c r="C213" s="182"/>
      <c r="D213" s="164"/>
      <c r="E213" s="164"/>
      <c r="F213" s="203"/>
      <c r="G213" s="203"/>
      <c r="H213" s="203"/>
      <c r="I213" s="203"/>
    </row>
    <row r="214" spans="2:11" x14ac:dyDescent="0.2">
      <c r="B214" s="182"/>
      <c r="C214" s="182"/>
      <c r="D214" s="164"/>
      <c r="E214" s="164"/>
    </row>
    <row r="215" spans="2:11" ht="15" x14ac:dyDescent="0.25">
      <c r="D215" s="164">
        <v>2016</v>
      </c>
      <c r="E215" s="240">
        <v>2017</v>
      </c>
      <c r="F215" s="182"/>
      <c r="G215" s="182"/>
      <c r="H215" s="182"/>
      <c r="I215" s="182"/>
      <c r="K215" s="178"/>
    </row>
    <row r="216" spans="2:11" ht="15" x14ac:dyDescent="0.25">
      <c r="C216" s="254" t="s">
        <v>129</v>
      </c>
      <c r="D216" s="252">
        <v>6.94E-3</v>
      </c>
      <c r="E216" s="252">
        <v>6.94E-3</v>
      </c>
      <c r="F216" s="182"/>
      <c r="G216" s="182"/>
      <c r="H216" s="182"/>
      <c r="I216" s="182"/>
      <c r="K216" s="201"/>
    </row>
    <row r="217" spans="2:11" ht="15" x14ac:dyDescent="0.25">
      <c r="F217" s="178"/>
      <c r="G217" s="178"/>
      <c r="H217" s="178"/>
      <c r="I217" s="178"/>
    </row>
    <row r="218" spans="2:11" x14ac:dyDescent="0.2">
      <c r="B218" s="182" t="s">
        <v>121</v>
      </c>
      <c r="C218" s="182"/>
      <c r="D218" s="164"/>
      <c r="E218" s="164"/>
      <c r="F218" s="203"/>
      <c r="G218" s="203"/>
      <c r="H218" s="203"/>
      <c r="I218" s="203"/>
    </row>
    <row r="219" spans="2:11" x14ac:dyDescent="0.2">
      <c r="B219" s="182"/>
      <c r="C219" s="182"/>
      <c r="D219" s="164"/>
      <c r="E219" s="164"/>
    </row>
    <row r="220" spans="2:11" ht="15" x14ac:dyDescent="0.25">
      <c r="D220" s="164">
        <v>2016</v>
      </c>
      <c r="E220" s="240">
        <v>2017</v>
      </c>
      <c r="F220" s="182"/>
      <c r="G220" s="182"/>
      <c r="H220" s="182"/>
      <c r="I220" s="182"/>
      <c r="K220" s="178"/>
    </row>
    <row r="221" spans="2:11" ht="15" x14ac:dyDescent="0.25">
      <c r="C221" s="204" t="s">
        <v>112</v>
      </c>
      <c r="D221" s="248">
        <v>1.1000000000000001E-3</v>
      </c>
      <c r="E221" s="248">
        <v>1.1000000000000001E-3</v>
      </c>
      <c r="F221" s="182"/>
      <c r="G221" s="182"/>
      <c r="H221" s="182"/>
      <c r="I221" s="182"/>
      <c r="K221" s="201"/>
    </row>
    <row r="222" spans="2:11" ht="15" x14ac:dyDescent="0.25">
      <c r="F222" s="178"/>
      <c r="G222" s="178"/>
      <c r="H222" s="178"/>
      <c r="I222" s="178"/>
    </row>
    <row r="223" spans="2:11" x14ac:dyDescent="0.2">
      <c r="B223" s="182" t="s">
        <v>115</v>
      </c>
      <c r="C223" s="182"/>
      <c r="D223" s="164"/>
      <c r="E223" s="164"/>
      <c r="F223" s="203"/>
      <c r="G223" s="203"/>
      <c r="H223" s="203"/>
      <c r="I223" s="203"/>
    </row>
    <row r="224" spans="2:11" x14ac:dyDescent="0.2">
      <c r="B224" s="182"/>
      <c r="C224" s="182"/>
      <c r="D224" s="164"/>
      <c r="E224" s="164"/>
    </row>
    <row r="225" spans="3:11" ht="15" x14ac:dyDescent="0.25">
      <c r="D225" s="164">
        <v>2016</v>
      </c>
      <c r="E225" s="240">
        <v>2017</v>
      </c>
      <c r="K225" s="178"/>
    </row>
    <row r="226" spans="3:11" ht="15" x14ac:dyDescent="0.25">
      <c r="C226" s="204" t="s">
        <v>116</v>
      </c>
      <c r="D226" s="253">
        <v>8.6999999999999994E-2</v>
      </c>
      <c r="E226" s="253">
        <v>8.6999999999999994E-2</v>
      </c>
      <c r="K226" s="201"/>
    </row>
    <row r="227" spans="3:11" ht="15" x14ac:dyDescent="0.25">
      <c r="C227" t="s">
        <v>117</v>
      </c>
      <c r="D227" s="253">
        <v>0.13200000000000001</v>
      </c>
      <c r="E227" s="253">
        <v>0.13200000000000001</v>
      </c>
    </row>
    <row r="228" spans="3:11" ht="15" x14ac:dyDescent="0.25">
      <c r="C228" t="s">
        <v>118</v>
      </c>
      <c r="D228" s="253">
        <v>0.18</v>
      </c>
      <c r="E228" s="253">
        <v>0.18</v>
      </c>
    </row>
    <row r="229" spans="3:11" ht="15" x14ac:dyDescent="0.25">
      <c r="C229" t="s">
        <v>119</v>
      </c>
      <c r="D229" s="253">
        <v>0.10299999999999999</v>
      </c>
      <c r="E229" s="253">
        <v>0.10299999999999999</v>
      </c>
    </row>
    <row r="230" spans="3:11" ht="15" x14ac:dyDescent="0.25">
      <c r="C230" t="s">
        <v>120</v>
      </c>
      <c r="D230" s="253">
        <v>0.121</v>
      </c>
      <c r="E230" s="253">
        <v>0.121</v>
      </c>
    </row>
  </sheetData>
  <pageMargins left="0.70866141732283472" right="0.70866141732283472" top="0.74803149606299213" bottom="0.74803149606299213" header="0.31496062992125984" footer="0.31496062992125984"/>
  <pageSetup scale="70" orientation="landscape" r:id="rId1"/>
  <rowBreaks count="2" manualBreakCount="2">
    <brk id="49" max="16383" man="1"/>
    <brk id="92"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W89"/>
  <sheetViews>
    <sheetView showGridLines="0" view="pageBreakPreview" zoomScale="70" zoomScaleNormal="85" zoomScaleSheetLayoutView="70" workbookViewId="0">
      <selection activeCell="B5" sqref="B5"/>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9.85546875" style="6" bestFit="1" customWidth="1"/>
    <col min="8" max="8" width="16.5703125" style="6" bestFit="1" customWidth="1"/>
    <col min="9" max="9" width="2.85546875" style="6" customWidth="1"/>
    <col min="10" max="10" width="12.7109375" style="6" bestFit="1" customWidth="1"/>
    <col min="11" max="11" width="9.85546875" style="6" bestFit="1" customWidth="1"/>
    <col min="12" max="12" width="16.85546875" style="6" bestFit="1" customWidth="1"/>
    <col min="13" max="13" width="2.85546875" style="6" customWidth="1"/>
    <col min="14" max="14" width="12.7109375" style="6" bestFit="1"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85546875" style="21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57</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f>51100*5</f>
        <v>255500</v>
      </c>
      <c r="G18" s="12" t="s">
        <v>6</v>
      </c>
    </row>
    <row r="19" spans="2:23" x14ac:dyDescent="0.2">
      <c r="B19" s="11"/>
      <c r="F19" s="13">
        <v>500</v>
      </c>
      <c r="G19" s="6" t="s">
        <v>58</v>
      </c>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+'&gt;50 (100)'!F23</f>
        <v>200</v>
      </c>
      <c r="G23" s="25">
        <v>1</v>
      </c>
      <c r="H23" s="26">
        <f>G23*F23</f>
        <v>200</v>
      </c>
      <c r="I23" s="27"/>
      <c r="J23" s="24">
        <f>+'&gt;50 (100)'!J23</f>
        <v>200</v>
      </c>
      <c r="K23" s="29">
        <v>1</v>
      </c>
      <c r="L23" s="26">
        <f>K23*J23</f>
        <v>200</v>
      </c>
      <c r="M23" s="27"/>
      <c r="N23" s="30">
        <f>L23-H23</f>
        <v>0</v>
      </c>
      <c r="O23" s="31">
        <f>IF((H23)=0,"",(N23/H23))</f>
        <v>0</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59</v>
      </c>
      <c r="E29" s="23"/>
      <c r="F29" s="24">
        <f>+'&gt;50 (100)'!F29</f>
        <v>4.0705999999999998</v>
      </c>
      <c r="G29" s="51">
        <f>+$F$19</f>
        <v>500</v>
      </c>
      <c r="H29" s="26">
        <f t="shared" si="0"/>
        <v>2035.3</v>
      </c>
      <c r="I29" s="27"/>
      <c r="J29" s="24">
        <f>+'&gt;50 (100)'!J29</f>
        <v>4.3244999999999996</v>
      </c>
      <c r="K29" s="51">
        <f>+$F$19</f>
        <v>500</v>
      </c>
      <c r="L29" s="26">
        <f t="shared" si="1"/>
        <v>2162.25</v>
      </c>
      <c r="M29" s="27"/>
      <c r="N29" s="30">
        <f t="shared" si="2"/>
        <v>126.95000000000005</v>
      </c>
      <c r="O29" s="31">
        <f t="shared" si="3"/>
        <v>6.2374097184690239E-2</v>
      </c>
      <c r="Q29" s="107"/>
      <c r="S29" s="107"/>
      <c r="U29" s="107"/>
      <c r="W29" s="107"/>
    </row>
    <row r="30" spans="2:23" x14ac:dyDescent="0.2">
      <c r="B30" s="21" t="s">
        <v>22</v>
      </c>
      <c r="C30" s="21"/>
      <c r="D30" s="22"/>
      <c r="E30" s="23"/>
      <c r="F30" s="24"/>
      <c r="G30" s="25">
        <f t="shared" ref="G30" si="4">$F$18</f>
        <v>255500</v>
      </c>
      <c r="H30" s="26">
        <f t="shared" si="0"/>
        <v>0</v>
      </c>
      <c r="I30" s="27"/>
      <c r="J30" s="24"/>
      <c r="K30" s="25">
        <f t="shared" ref="K30:K38" si="5">$F$18</f>
        <v>255500</v>
      </c>
      <c r="L30" s="26">
        <f t="shared" si="1"/>
        <v>0</v>
      </c>
      <c r="M30" s="27"/>
      <c r="N30" s="30">
        <f t="shared" si="2"/>
        <v>0</v>
      </c>
      <c r="O30" s="31" t="str">
        <f t="shared" si="3"/>
        <v/>
      </c>
      <c r="Q30" s="107"/>
      <c r="S30" s="107"/>
      <c r="U30" s="107"/>
      <c r="W30" s="107"/>
    </row>
    <row r="31" spans="2:23" x14ac:dyDescent="0.2">
      <c r="B31" s="21" t="s">
        <v>23</v>
      </c>
      <c r="C31" s="21"/>
      <c r="D31" s="22" t="s">
        <v>59</v>
      </c>
      <c r="E31" s="23"/>
      <c r="F31" s="24">
        <f>+'&gt;50 (100)'!F31</f>
        <v>-7.7109999999999998E-2</v>
      </c>
      <c r="G31" s="51">
        <f>+$F$19</f>
        <v>500</v>
      </c>
      <c r="H31" s="26">
        <f t="shared" si="0"/>
        <v>-38.555</v>
      </c>
      <c r="I31" s="27"/>
      <c r="J31" s="24">
        <f>+'&gt;50 (100)'!J31</f>
        <v>0</v>
      </c>
      <c r="K31" s="51">
        <f>+$F$19</f>
        <v>500</v>
      </c>
      <c r="L31" s="26">
        <f t="shared" si="1"/>
        <v>0</v>
      </c>
      <c r="M31" s="27"/>
      <c r="N31" s="30">
        <f t="shared" si="2"/>
        <v>38.555</v>
      </c>
      <c r="O31" s="31">
        <f t="shared" si="3"/>
        <v>-1</v>
      </c>
      <c r="Q31" s="107"/>
      <c r="S31" s="107"/>
      <c r="U31" s="107"/>
      <c r="W31" s="107"/>
    </row>
    <row r="32" spans="2:23" x14ac:dyDescent="0.2">
      <c r="B32" s="33"/>
      <c r="C32" s="21"/>
      <c r="D32" s="22"/>
      <c r="E32" s="23"/>
      <c r="F32" s="24"/>
      <c r="G32" s="25">
        <f t="shared" ref="G32:G38" si="6">$F$18</f>
        <v>255500</v>
      </c>
      <c r="H32" s="26">
        <f t="shared" si="0"/>
        <v>0</v>
      </c>
      <c r="I32" s="27"/>
      <c r="J32" s="28"/>
      <c r="K32" s="25">
        <f t="shared" si="5"/>
        <v>255500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255500</v>
      </c>
      <c r="H33" s="26">
        <f t="shared" si="0"/>
        <v>0</v>
      </c>
      <c r="I33" s="27"/>
      <c r="J33" s="28"/>
      <c r="K33" s="25">
        <f t="shared" si="5"/>
        <v>255500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255500</v>
      </c>
      <c r="H34" s="26">
        <f t="shared" si="0"/>
        <v>0</v>
      </c>
      <c r="I34" s="27"/>
      <c r="J34" s="28"/>
      <c r="K34" s="25">
        <f t="shared" si="5"/>
        <v>255500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255500</v>
      </c>
      <c r="H35" s="26">
        <f t="shared" si="0"/>
        <v>0</v>
      </c>
      <c r="I35" s="27"/>
      <c r="J35" s="28"/>
      <c r="K35" s="25">
        <f t="shared" si="5"/>
        <v>255500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255500</v>
      </c>
      <c r="H36" s="26">
        <f t="shared" si="0"/>
        <v>0</v>
      </c>
      <c r="I36" s="27"/>
      <c r="J36" s="28"/>
      <c r="K36" s="25">
        <f t="shared" si="5"/>
        <v>255500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255500</v>
      </c>
      <c r="H37" s="26">
        <f t="shared" si="0"/>
        <v>0</v>
      </c>
      <c r="I37" s="27"/>
      <c r="J37" s="28"/>
      <c r="K37" s="25">
        <f t="shared" si="5"/>
        <v>255500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255500</v>
      </c>
      <c r="H38" s="26">
        <f t="shared" si="0"/>
        <v>0</v>
      </c>
      <c r="I38" s="27"/>
      <c r="J38" s="28"/>
      <c r="K38" s="25">
        <f t="shared" si="5"/>
        <v>255500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2196.7450000000003</v>
      </c>
      <c r="I39" s="40"/>
      <c r="J39" s="41"/>
      <c r="K39" s="42"/>
      <c r="L39" s="39">
        <f>SUM(L23:L38)</f>
        <v>2362.25</v>
      </c>
      <c r="M39" s="40"/>
      <c r="N39" s="43">
        <f t="shared" si="2"/>
        <v>165.50499999999965</v>
      </c>
      <c r="O39" s="44">
        <f t="shared" si="3"/>
        <v>7.5341015912178982E-2</v>
      </c>
      <c r="Q39" s="107"/>
      <c r="R39" s="211"/>
      <c r="S39" s="107"/>
      <c r="T39" s="211"/>
      <c r="U39" s="107"/>
      <c r="V39" s="211"/>
      <c r="W39" s="107"/>
    </row>
    <row r="40" spans="2:23" ht="25.5" x14ac:dyDescent="0.2">
      <c r="B40" s="46" t="s">
        <v>25</v>
      </c>
      <c r="C40" s="21"/>
      <c r="D40" s="22" t="s">
        <v>59</v>
      </c>
      <c r="E40" s="23"/>
      <c r="F40" s="24">
        <f>'Proposed Rates'!D40</f>
        <v>-0.35541499999999998</v>
      </c>
      <c r="G40" s="51">
        <f>+$F$19</f>
        <v>500</v>
      </c>
      <c r="H40" s="26">
        <f>G40*F40</f>
        <v>-177.70749999999998</v>
      </c>
      <c r="I40" s="27"/>
      <c r="J40" s="24">
        <f>+'&gt;50 (100)'!J40</f>
        <v>1.17E-2</v>
      </c>
      <c r="K40" s="51">
        <f>+$F$19</f>
        <v>500</v>
      </c>
      <c r="L40" s="26">
        <f>K40*J40</f>
        <v>5.8500000000000005</v>
      </c>
      <c r="M40" s="27"/>
      <c r="N40" s="30">
        <f>L40-H40</f>
        <v>183.55749999999998</v>
      </c>
      <c r="O40" s="31">
        <f>IF((H40)=0,"",(N40/H40))</f>
        <v>-1.0329192633963113</v>
      </c>
      <c r="Q40" s="107"/>
      <c r="S40" s="107"/>
      <c r="U40" s="107"/>
      <c r="W40" s="107"/>
    </row>
    <row r="41" spans="2:23" ht="38.25" x14ac:dyDescent="0.2">
      <c r="B41" s="154" t="s">
        <v>60</v>
      </c>
      <c r="C41" s="21"/>
      <c r="D41" s="22" t="s">
        <v>21</v>
      </c>
      <c r="E41" s="23"/>
      <c r="F41" s="24">
        <f>'Proposed Rates'!D54</f>
        <v>-2.9000000000000001E-2</v>
      </c>
      <c r="G41" s="51">
        <f>+F19</f>
        <v>500</v>
      </c>
      <c r="H41" s="26">
        <f t="shared" ref="H41:H46" si="7">G41*F41</f>
        <v>-14.5</v>
      </c>
      <c r="I41" s="47"/>
      <c r="J41" s="24">
        <f>+'&gt;50 (100)'!J41</f>
        <v>1.29E-2</v>
      </c>
      <c r="K41" s="25">
        <f>+$G$41</f>
        <v>500</v>
      </c>
      <c r="L41" s="26">
        <f t="shared" ref="L41:L46" si="8">K41*J41</f>
        <v>6.45</v>
      </c>
      <c r="M41" s="48"/>
      <c r="N41" s="30">
        <f t="shared" ref="N41:N46" si="9">L41-H41</f>
        <v>20.95</v>
      </c>
      <c r="O41" s="31">
        <f t="shared" ref="O41:O65" si="10">IF((H41)=0,"",(N41/H41))</f>
        <v>-1.4448275862068964</v>
      </c>
      <c r="Q41" s="107"/>
      <c r="S41" s="107"/>
      <c r="U41" s="107"/>
      <c r="W41" s="107"/>
    </row>
    <row r="42" spans="2:23" ht="38.25" x14ac:dyDescent="0.2">
      <c r="B42" s="46" t="str">
        <f>+'&gt;50 (100)'!B42</f>
        <v xml:space="preserve">Deferral/Variance Account Disposition Rate Rider -  Global Adjustment </v>
      </c>
      <c r="C42" s="21"/>
      <c r="D42" s="22" t="s">
        <v>21</v>
      </c>
      <c r="E42" s="23"/>
      <c r="F42" s="24">
        <f>'Proposed Rates'!D83</f>
        <v>2.81E-3</v>
      </c>
      <c r="G42" s="25">
        <f t="shared" ref="G42" si="11">$F$18</f>
        <v>255500</v>
      </c>
      <c r="H42" s="26">
        <f t="shared" si="7"/>
        <v>717.95500000000004</v>
      </c>
      <c r="I42" s="47"/>
      <c r="J42" s="24">
        <f>+'&gt;50 (100)'!J42</f>
        <v>-2.0999999999999999E-3</v>
      </c>
      <c r="K42" s="25">
        <f t="shared" ref="K42" si="12">$F$18</f>
        <v>255500</v>
      </c>
      <c r="L42" s="26">
        <f t="shared" si="8"/>
        <v>-536.54999999999995</v>
      </c>
      <c r="M42" s="48"/>
      <c r="N42" s="30">
        <f t="shared" si="9"/>
        <v>-1254.5050000000001</v>
      </c>
      <c r="O42" s="31">
        <f t="shared" si="10"/>
        <v>-1.7473309608540926</v>
      </c>
      <c r="Q42" s="107"/>
      <c r="S42" s="107"/>
      <c r="U42" s="107"/>
      <c r="W42" s="107"/>
    </row>
    <row r="43" spans="2:23" ht="38.25" x14ac:dyDescent="0.2">
      <c r="B43" s="46" t="str">
        <f>+'&gt;50 (100)'!B43</f>
        <v>Deferral / Variance Accounts Balances (excluding Global Adj.) - NON-WMP</v>
      </c>
      <c r="C43" s="21"/>
      <c r="D43" s="22" t="s">
        <v>59</v>
      </c>
      <c r="E43" s="23"/>
      <c r="F43" s="24">
        <f>'Proposed Rates'!D99</f>
        <v>-0.63453599999999999</v>
      </c>
      <c r="G43" s="51">
        <f>$F$19</f>
        <v>500</v>
      </c>
      <c r="H43" s="26">
        <f t="shared" si="7"/>
        <v>-317.26799999999997</v>
      </c>
      <c r="I43" s="47"/>
      <c r="J43" s="24">
        <f>+'&gt;50 (100)'!J43</f>
        <v>-0.9869</v>
      </c>
      <c r="K43" s="51">
        <f>+F19</f>
        <v>500</v>
      </c>
      <c r="L43" s="26">
        <f t="shared" si="8"/>
        <v>-493.45</v>
      </c>
      <c r="M43" s="48"/>
      <c r="N43" s="30">
        <f t="shared" si="9"/>
        <v>-176.18200000000002</v>
      </c>
      <c r="O43" s="31">
        <f t="shared" si="10"/>
        <v>0.55530970662027068</v>
      </c>
      <c r="Q43" s="107"/>
      <c r="S43" s="107"/>
      <c r="U43" s="107"/>
      <c r="W43" s="107"/>
    </row>
    <row r="44" spans="2:23" ht="38.25" x14ac:dyDescent="0.2">
      <c r="B44" s="46" t="s">
        <v>128</v>
      </c>
      <c r="C44" s="21"/>
      <c r="D44" s="22" t="s">
        <v>21</v>
      </c>
      <c r="E44" s="23"/>
      <c r="F44" s="24">
        <f>+'&gt;50 (100)'!F44</f>
        <v>0</v>
      </c>
      <c r="G44" s="25">
        <f t="shared" ref="G44" si="13">$F$18</f>
        <v>255500</v>
      </c>
      <c r="H44" s="26">
        <f t="shared" si="7"/>
        <v>0</v>
      </c>
      <c r="I44" s="236"/>
      <c r="J44" s="237">
        <f>+'&gt;50 (100)'!J44</f>
        <v>2.7E-4</v>
      </c>
      <c r="K44" s="25">
        <f t="shared" ref="K44" si="14">$F$18</f>
        <v>255500</v>
      </c>
      <c r="L44" s="26">
        <f t="shared" si="8"/>
        <v>68.984999999999999</v>
      </c>
      <c r="M44" s="236"/>
      <c r="N44" s="30">
        <f t="shared" si="9"/>
        <v>68.984999999999999</v>
      </c>
      <c r="O44" s="31" t="str">
        <f t="shared" si="10"/>
        <v/>
      </c>
      <c r="Q44" s="107"/>
      <c r="S44" s="107"/>
      <c r="U44" s="107"/>
      <c r="W44" s="107"/>
    </row>
    <row r="45" spans="2:23" x14ac:dyDescent="0.2">
      <c r="B45" s="49" t="s">
        <v>26</v>
      </c>
      <c r="C45" s="21"/>
      <c r="D45" s="22" t="s">
        <v>59</v>
      </c>
      <c r="E45" s="23"/>
      <c r="F45" s="50">
        <f>'&gt;50 (100)'!F45</f>
        <v>2.5260000000000001E-2</v>
      </c>
      <c r="G45" s="51">
        <f>+$F$19</f>
        <v>500</v>
      </c>
      <c r="H45" s="26">
        <f>G45*F45</f>
        <v>12.63</v>
      </c>
      <c r="I45" s="27"/>
      <c r="J45" s="52">
        <f>'&gt;50 (100)'!J45</f>
        <v>2.632E-2</v>
      </c>
      <c r="K45" s="51">
        <f>+$F$19</f>
        <v>500</v>
      </c>
      <c r="L45" s="26">
        <f>K45*J45</f>
        <v>13.16</v>
      </c>
      <c r="M45" s="27"/>
      <c r="N45" s="30">
        <f>L45-H45</f>
        <v>0.52999999999999936</v>
      </c>
      <c r="O45" s="31">
        <f>IF((H45)=0,"",(N45/H45))</f>
        <v>4.1963578780680869E-2</v>
      </c>
      <c r="Q45" s="107"/>
      <c r="S45" s="107"/>
      <c r="U45" s="107"/>
      <c r="W45" s="107"/>
    </row>
    <row r="46" spans="2:23" x14ac:dyDescent="0.2">
      <c r="B46" s="49" t="s">
        <v>27</v>
      </c>
      <c r="C46" s="21"/>
      <c r="D46" s="22"/>
      <c r="E46" s="23"/>
      <c r="F46" s="53">
        <f>IF(ISBLANK(D16)=TRUE, 0, IF(D16="TOU", 0.65*$F$57+0.17*$F$58+0.18*$F$59, IF(AND(D16="non-TOU", G61&gt;0), F61,F60)))</f>
        <v>0.11139</v>
      </c>
      <c r="G46" s="54">
        <f>$F$18*(1+$F$72)-$F$18</f>
        <v>8559.25</v>
      </c>
      <c r="H46" s="26">
        <f t="shared" si="7"/>
        <v>953.41485750000004</v>
      </c>
      <c r="I46" s="27"/>
      <c r="J46" s="55">
        <f>0.65*$J$57+0.17*$J$58+0.18*$J$59</f>
        <v>0.11139</v>
      </c>
      <c r="K46" s="54">
        <f>$F$18*(1+$J$72)-$F$18</f>
        <v>8559.25</v>
      </c>
      <c r="L46" s="26">
        <f t="shared" si="8"/>
        <v>953.41485750000004</v>
      </c>
      <c r="M46" s="27"/>
      <c r="N46" s="30">
        <f t="shared" si="9"/>
        <v>0</v>
      </c>
      <c r="O46" s="31">
        <f t="shared" si="10"/>
        <v>0</v>
      </c>
      <c r="Q46" s="107"/>
      <c r="S46" s="107"/>
      <c r="U46" s="107"/>
      <c r="W46" s="107"/>
    </row>
    <row r="47" spans="2:23" x14ac:dyDescent="0.2">
      <c r="B47" s="49" t="s">
        <v>28</v>
      </c>
      <c r="C47" s="21"/>
      <c r="D47" s="22" t="s">
        <v>18</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5.5" x14ac:dyDescent="0.2">
      <c r="B48" s="56" t="s">
        <v>29</v>
      </c>
      <c r="C48" s="57"/>
      <c r="D48" s="57"/>
      <c r="E48" s="57"/>
      <c r="F48" s="58"/>
      <c r="G48" s="59"/>
      <c r="H48" s="60">
        <f>SUM(H40:H47)+H39</f>
        <v>3371.2693575000003</v>
      </c>
      <c r="I48" s="40"/>
      <c r="J48" s="59"/>
      <c r="K48" s="61"/>
      <c r="L48" s="60">
        <f>SUM(L40:L47)+L39</f>
        <v>2380.1098575000001</v>
      </c>
      <c r="M48" s="40"/>
      <c r="N48" s="43">
        <f t="shared" ref="N48:N65" si="15">L48-H48</f>
        <v>-991.15950000000021</v>
      </c>
      <c r="O48" s="44">
        <f t="shared" si="10"/>
        <v>-0.29400187137078976</v>
      </c>
      <c r="Q48" s="107"/>
      <c r="S48" s="107"/>
      <c r="U48" s="107"/>
      <c r="W48" s="107"/>
    </row>
    <row r="49" spans="2:23" x14ac:dyDescent="0.2">
      <c r="B49" s="27" t="s">
        <v>30</v>
      </c>
      <c r="C49" s="27"/>
      <c r="D49" s="62" t="s">
        <v>59</v>
      </c>
      <c r="E49" s="63"/>
      <c r="F49" s="28">
        <f>'&gt;50 (100)'!F49</f>
        <v>2.8607999999999998</v>
      </c>
      <c r="G49" s="64">
        <f>+$F$19</f>
        <v>500</v>
      </c>
      <c r="H49" s="26">
        <f>G49*F49</f>
        <v>1430.3999999999999</v>
      </c>
      <c r="I49" s="27"/>
      <c r="J49" s="28">
        <f>'&gt;50 (100)'!J49</f>
        <v>2.8016000000000001</v>
      </c>
      <c r="K49" s="64">
        <f>+$F$19</f>
        <v>500</v>
      </c>
      <c r="L49" s="26">
        <f>K49*J49</f>
        <v>1400.8</v>
      </c>
      <c r="M49" s="27"/>
      <c r="N49" s="30">
        <f t="shared" si="15"/>
        <v>-29.599999999999909</v>
      </c>
      <c r="O49" s="31">
        <f t="shared" si="10"/>
        <v>-2.0693512304250497E-2</v>
      </c>
      <c r="Q49" s="107"/>
      <c r="S49" s="107"/>
      <c r="U49" s="107"/>
      <c r="W49" s="107"/>
    </row>
    <row r="50" spans="2:23" ht="25.5" x14ac:dyDescent="0.2">
      <c r="B50" s="66" t="s">
        <v>31</v>
      </c>
      <c r="C50" s="27"/>
      <c r="D50" s="62" t="s">
        <v>59</v>
      </c>
      <c r="E50" s="63"/>
      <c r="F50" s="28">
        <f>'&gt;50 (100)'!F50</f>
        <v>1.8267</v>
      </c>
      <c r="G50" s="64">
        <f>G49</f>
        <v>500</v>
      </c>
      <c r="H50" s="26">
        <f>G50*F50</f>
        <v>913.35</v>
      </c>
      <c r="I50" s="27"/>
      <c r="J50" s="28">
        <f>'&gt;50 (100)'!J50</f>
        <v>1.8173999999999999</v>
      </c>
      <c r="K50" s="64">
        <f>K49</f>
        <v>500</v>
      </c>
      <c r="L50" s="26">
        <f>K50*J50</f>
        <v>908.69999999999993</v>
      </c>
      <c r="M50" s="27"/>
      <c r="N50" s="30">
        <f t="shared" si="15"/>
        <v>-4.6500000000000909</v>
      </c>
      <c r="O50" s="31">
        <f t="shared" si="10"/>
        <v>-5.0911479717524397E-3</v>
      </c>
      <c r="Q50" s="107"/>
      <c r="S50" s="107"/>
      <c r="U50" s="107"/>
      <c r="W50" s="107"/>
    </row>
    <row r="51" spans="2:23" ht="25.5" x14ac:dyDescent="0.2">
      <c r="B51" s="56" t="s">
        <v>32</v>
      </c>
      <c r="C51" s="35"/>
      <c r="D51" s="35"/>
      <c r="E51" s="35"/>
      <c r="F51" s="67"/>
      <c r="G51" s="59"/>
      <c r="H51" s="60">
        <f>SUM(H48:H50)</f>
        <v>5715.0193575000003</v>
      </c>
      <c r="I51" s="68"/>
      <c r="J51" s="69"/>
      <c r="K51" s="59"/>
      <c r="L51" s="60">
        <f>SUM(L48:L50)</f>
        <v>4689.6098574999996</v>
      </c>
      <c r="M51" s="68"/>
      <c r="N51" s="43">
        <f t="shared" si="15"/>
        <v>-1025.4095000000007</v>
      </c>
      <c r="O51" s="44">
        <f t="shared" si="10"/>
        <v>-0.17942362673790832</v>
      </c>
      <c r="Q51" s="102"/>
      <c r="S51" s="102"/>
      <c r="U51" s="102"/>
      <c r="W51" s="102"/>
    </row>
    <row r="52" spans="2:23" ht="25.5" x14ac:dyDescent="0.2">
      <c r="B52" s="71" t="s">
        <v>33</v>
      </c>
      <c r="C52" s="21"/>
      <c r="D52" s="22" t="s">
        <v>21</v>
      </c>
      <c r="E52" s="23"/>
      <c r="F52" s="72">
        <f>'&gt;50 (100)'!F52</f>
        <v>3.5999999999999999E-3</v>
      </c>
      <c r="G52" s="64">
        <f>+$F$18+G46</f>
        <v>264059.25</v>
      </c>
      <c r="H52" s="73">
        <f t="shared" ref="H52:H59" si="16">G52*F52</f>
        <v>950.61329999999998</v>
      </c>
      <c r="I52" s="27"/>
      <c r="J52" s="72">
        <f>F52</f>
        <v>3.5999999999999999E-3</v>
      </c>
      <c r="K52" s="64">
        <f>+$F$18+K46</f>
        <v>264059.25</v>
      </c>
      <c r="L52" s="73">
        <f t="shared" ref="L52:L59" si="17">K52*J52</f>
        <v>950.61329999999998</v>
      </c>
      <c r="M52" s="27"/>
      <c r="N52" s="30">
        <f t="shared" si="15"/>
        <v>0</v>
      </c>
      <c r="O52" s="74">
        <f t="shared" si="10"/>
        <v>0</v>
      </c>
      <c r="Q52" s="107"/>
      <c r="S52" s="107"/>
      <c r="U52" s="107"/>
      <c r="W52" s="107"/>
    </row>
    <row r="53" spans="2:23" ht="25.5" x14ac:dyDescent="0.2">
      <c r="B53" s="71" t="s">
        <v>34</v>
      </c>
      <c r="C53" s="21"/>
      <c r="D53" s="22" t="s">
        <v>21</v>
      </c>
      <c r="E53" s="23"/>
      <c r="F53" s="72">
        <f>'&gt;50 (100)'!F53</f>
        <v>1.2999999999999999E-3</v>
      </c>
      <c r="G53" s="64">
        <f>G52</f>
        <v>264059.25</v>
      </c>
      <c r="H53" s="73">
        <f t="shared" si="16"/>
        <v>343.27702499999998</v>
      </c>
      <c r="I53" s="27"/>
      <c r="J53" s="72">
        <f>F53</f>
        <v>1.2999999999999999E-3</v>
      </c>
      <c r="K53" s="64">
        <f>K52</f>
        <v>264059.25</v>
      </c>
      <c r="L53" s="73">
        <f t="shared" si="17"/>
        <v>343.27702499999998</v>
      </c>
      <c r="M53" s="27"/>
      <c r="N53" s="30">
        <f t="shared" si="15"/>
        <v>0</v>
      </c>
      <c r="O53" s="74">
        <f t="shared" si="10"/>
        <v>0</v>
      </c>
      <c r="Q53" s="107"/>
      <c r="S53" s="107"/>
      <c r="U53" s="107"/>
      <c r="W53" s="107"/>
    </row>
    <row r="54" spans="2:23" x14ac:dyDescent="0.2">
      <c r="B54" s="21" t="s">
        <v>35</v>
      </c>
      <c r="C54" s="21"/>
      <c r="D54" s="22" t="s">
        <v>18</v>
      </c>
      <c r="E54" s="23"/>
      <c r="F54" s="72">
        <f>'&gt;50 (100)'!F54</f>
        <v>0.25</v>
      </c>
      <c r="G54" s="25">
        <v>1</v>
      </c>
      <c r="H54" s="73">
        <f t="shared" si="16"/>
        <v>0.25</v>
      </c>
      <c r="I54" s="27"/>
      <c r="J54" s="72">
        <f>'&gt;50 (100)'!J54</f>
        <v>0.25</v>
      </c>
      <c r="K54" s="29">
        <v>1</v>
      </c>
      <c r="L54" s="73">
        <f t="shared" si="17"/>
        <v>0.25</v>
      </c>
      <c r="M54" s="27"/>
      <c r="N54" s="30">
        <f t="shared" si="15"/>
        <v>0</v>
      </c>
      <c r="O54" s="74">
        <f t="shared" si="10"/>
        <v>0</v>
      </c>
      <c r="Q54" s="107"/>
      <c r="S54" s="107"/>
      <c r="U54" s="107"/>
      <c r="W54" s="107"/>
    </row>
    <row r="55" spans="2:23" x14ac:dyDescent="0.2">
      <c r="B55" s="21" t="s">
        <v>122</v>
      </c>
      <c r="C55" s="21"/>
      <c r="D55" s="22"/>
      <c r="E55" s="23"/>
      <c r="F55" s="72">
        <f>'Proposed Rates'!D221</f>
        <v>1.1000000000000001E-3</v>
      </c>
      <c r="G55" s="64">
        <f>G52</f>
        <v>264059.25</v>
      </c>
      <c r="H55" s="73">
        <f>G55*F55</f>
        <v>290.46517500000004</v>
      </c>
      <c r="I55" s="27"/>
      <c r="J55" s="72">
        <f>F55</f>
        <v>1.1000000000000001E-3</v>
      </c>
      <c r="K55" s="64">
        <f>K52</f>
        <v>264059.25</v>
      </c>
      <c r="L55" s="73">
        <f>K55*J55</f>
        <v>290.46517500000004</v>
      </c>
      <c r="M55" s="27"/>
      <c r="N55" s="30"/>
      <c r="O55" s="74"/>
      <c r="Q55" s="107"/>
      <c r="S55" s="107"/>
      <c r="U55" s="107"/>
      <c r="W55" s="107"/>
    </row>
    <row r="56" spans="2:23" x14ac:dyDescent="0.2">
      <c r="B56" s="21" t="s">
        <v>36</v>
      </c>
      <c r="C56" s="21"/>
      <c r="D56" s="22"/>
      <c r="E56" s="23"/>
      <c r="F56" s="72">
        <f>'&gt;50 (100)'!F56</f>
        <v>6.94E-3</v>
      </c>
      <c r="G56" s="75">
        <f>$F$18</f>
        <v>255500</v>
      </c>
      <c r="H56" s="73">
        <f t="shared" si="16"/>
        <v>1773.17</v>
      </c>
      <c r="I56" s="27"/>
      <c r="J56" s="72">
        <f>+F56</f>
        <v>6.94E-3</v>
      </c>
      <c r="K56" s="76">
        <f>$F$18</f>
        <v>255500</v>
      </c>
      <c r="L56" s="73">
        <f t="shared" si="17"/>
        <v>1773.17</v>
      </c>
      <c r="M56" s="27"/>
      <c r="N56" s="30">
        <f t="shared" si="15"/>
        <v>0</v>
      </c>
      <c r="O56" s="74">
        <f t="shared" si="10"/>
        <v>0</v>
      </c>
      <c r="Q56" s="107"/>
      <c r="S56" s="107"/>
      <c r="U56" s="107"/>
      <c r="W56" s="107"/>
    </row>
    <row r="57" spans="2:23" x14ac:dyDescent="0.2">
      <c r="B57" s="49" t="s">
        <v>37</v>
      </c>
      <c r="C57" s="21"/>
      <c r="D57" s="22"/>
      <c r="E57" s="23"/>
      <c r="F57" s="72">
        <f>'&gt;50 (100)'!F57</f>
        <v>8.6999999999999994E-2</v>
      </c>
      <c r="G57" s="77">
        <f>0.65*$F$18</f>
        <v>166075</v>
      </c>
      <c r="H57" s="73">
        <f t="shared" si="16"/>
        <v>14448.525</v>
      </c>
      <c r="I57" s="27"/>
      <c r="J57" s="72">
        <f>F57</f>
        <v>8.6999999999999994E-2</v>
      </c>
      <c r="K57" s="77">
        <f>$G$57</f>
        <v>166075</v>
      </c>
      <c r="L57" s="73">
        <f t="shared" si="17"/>
        <v>14448.525</v>
      </c>
      <c r="M57" s="27"/>
      <c r="N57" s="30">
        <f t="shared" si="15"/>
        <v>0</v>
      </c>
      <c r="O57" s="74">
        <f t="shared" si="10"/>
        <v>0</v>
      </c>
      <c r="Q57" s="107"/>
      <c r="S57" s="107"/>
      <c r="U57" s="107"/>
      <c r="W57" s="107"/>
    </row>
    <row r="58" spans="2:23" x14ac:dyDescent="0.2">
      <c r="B58" s="49" t="s">
        <v>38</v>
      </c>
      <c r="C58" s="21"/>
      <c r="D58" s="22"/>
      <c r="E58" s="23"/>
      <c r="F58" s="72">
        <f>'&gt;50 (100)'!F58</f>
        <v>0.13200000000000001</v>
      </c>
      <c r="G58" s="77">
        <f>0.17*$F$18</f>
        <v>43435</v>
      </c>
      <c r="H58" s="73">
        <f t="shared" si="16"/>
        <v>5733.42</v>
      </c>
      <c r="I58" s="27"/>
      <c r="J58" s="72">
        <f>F58</f>
        <v>0.13200000000000001</v>
      </c>
      <c r="K58" s="77">
        <f>$G$58</f>
        <v>43435</v>
      </c>
      <c r="L58" s="73">
        <f t="shared" si="17"/>
        <v>5733.42</v>
      </c>
      <c r="M58" s="27"/>
      <c r="N58" s="30">
        <f t="shared" si="15"/>
        <v>0</v>
      </c>
      <c r="O58" s="74">
        <f t="shared" si="10"/>
        <v>0</v>
      </c>
      <c r="Q58" s="107"/>
      <c r="S58" s="107"/>
      <c r="U58" s="107"/>
      <c r="W58" s="107"/>
    </row>
    <row r="59" spans="2:23" x14ac:dyDescent="0.2">
      <c r="B59" s="11" t="s">
        <v>39</v>
      </c>
      <c r="C59" s="21"/>
      <c r="D59" s="22"/>
      <c r="E59" s="23"/>
      <c r="F59" s="72">
        <f>'&gt;50 (100)'!F59</f>
        <v>0.18</v>
      </c>
      <c r="G59" s="77">
        <f>0.18*$F$18</f>
        <v>45990</v>
      </c>
      <c r="H59" s="73">
        <f t="shared" si="16"/>
        <v>8278.1999999999989</v>
      </c>
      <c r="I59" s="27"/>
      <c r="J59" s="72">
        <f>F59</f>
        <v>0.18</v>
      </c>
      <c r="K59" s="77">
        <f>$G$59</f>
        <v>45990</v>
      </c>
      <c r="L59" s="73">
        <f t="shared" si="17"/>
        <v>8278.1999999999989</v>
      </c>
      <c r="M59" s="27"/>
      <c r="N59" s="30">
        <f t="shared" si="15"/>
        <v>0</v>
      </c>
      <c r="O59" s="74">
        <f t="shared" si="10"/>
        <v>0</v>
      </c>
      <c r="Q59" s="107"/>
      <c r="S59" s="107"/>
      <c r="U59" s="107"/>
      <c r="W59" s="107"/>
    </row>
    <row r="60" spans="2:23" s="85" customFormat="1" x14ac:dyDescent="0.2">
      <c r="B60" s="78" t="s">
        <v>40</v>
      </c>
      <c r="C60" s="79"/>
      <c r="D60" s="80"/>
      <c r="E60" s="81"/>
      <c r="F60" s="72">
        <f>'&gt;50 (100)'!F60</f>
        <v>0.10299999999999999</v>
      </c>
      <c r="G60" s="82">
        <v>750</v>
      </c>
      <c r="H60" s="73">
        <f>G60*F60</f>
        <v>77.25</v>
      </c>
      <c r="I60" s="83"/>
      <c r="J60" s="72">
        <f>F60</f>
        <v>0.10299999999999999</v>
      </c>
      <c r="K60" s="82">
        <f>$G$60</f>
        <v>750</v>
      </c>
      <c r="L60" s="73">
        <f>K60*J60</f>
        <v>77.25</v>
      </c>
      <c r="M60" s="83"/>
      <c r="N60" s="84">
        <f t="shared" si="15"/>
        <v>0</v>
      </c>
      <c r="O60" s="74">
        <f t="shared" si="10"/>
        <v>0</v>
      </c>
      <c r="Q60" s="143"/>
      <c r="R60" s="212"/>
      <c r="S60" s="143"/>
      <c r="T60" s="212"/>
      <c r="U60" s="143"/>
      <c r="V60" s="212"/>
      <c r="W60" s="143"/>
    </row>
    <row r="61" spans="2:23" s="85" customFormat="1" ht="13.5" thickBot="1" x14ac:dyDescent="0.25">
      <c r="B61" s="78" t="s">
        <v>41</v>
      </c>
      <c r="C61" s="79"/>
      <c r="D61" s="80"/>
      <c r="E61" s="81"/>
      <c r="F61" s="72">
        <f>'&gt;50 (100)'!F61</f>
        <v>0.121</v>
      </c>
      <c r="G61" s="82">
        <f>F18-G60</f>
        <v>254750</v>
      </c>
      <c r="H61" s="73">
        <f>G61*F61</f>
        <v>30824.75</v>
      </c>
      <c r="I61" s="83"/>
      <c r="J61" s="72">
        <f>F61</f>
        <v>0.121</v>
      </c>
      <c r="K61" s="82">
        <f>$G$61</f>
        <v>254750</v>
      </c>
      <c r="L61" s="73">
        <f>K61*J61</f>
        <v>30824.75</v>
      </c>
      <c r="M61" s="83"/>
      <c r="N61" s="84">
        <f t="shared" si="15"/>
        <v>0</v>
      </c>
      <c r="O61" s="74">
        <f t="shared" si="10"/>
        <v>0</v>
      </c>
      <c r="Q61" s="143"/>
      <c r="R61" s="212"/>
      <c r="S61" s="143"/>
      <c r="T61" s="212"/>
      <c r="U61" s="143"/>
      <c r="V61" s="212"/>
      <c r="W61" s="143"/>
    </row>
    <row r="62" spans="2:23" ht="8.25" customHeight="1" thickBot="1" x14ac:dyDescent="0.25">
      <c r="B62" s="86"/>
      <c r="C62" s="87"/>
      <c r="D62" s="88"/>
      <c r="E62" s="87"/>
      <c r="F62" s="89"/>
      <c r="G62" s="90"/>
      <c r="H62" s="91"/>
      <c r="I62" s="92"/>
      <c r="J62" s="89"/>
      <c r="K62" s="93"/>
      <c r="L62" s="91"/>
      <c r="M62" s="92"/>
      <c r="N62" s="94"/>
      <c r="O62" s="95"/>
      <c r="Q62" s="107"/>
      <c r="S62" s="107"/>
      <c r="U62" s="107"/>
      <c r="W62" s="107"/>
    </row>
    <row r="63" spans="2:23" x14ac:dyDescent="0.2">
      <c r="B63" s="96" t="s">
        <v>42</v>
      </c>
      <c r="C63" s="21"/>
      <c r="D63" s="21"/>
      <c r="E63" s="21"/>
      <c r="F63" s="97"/>
      <c r="G63" s="98"/>
      <c r="H63" s="99">
        <f>SUM(H52:H59,H51)</f>
        <v>37532.939857499994</v>
      </c>
      <c r="I63" s="100"/>
      <c r="J63" s="101"/>
      <c r="K63" s="101"/>
      <c r="L63" s="99">
        <f>SUM(L52:L59,L51)</f>
        <v>36507.530357499993</v>
      </c>
      <c r="M63" s="102"/>
      <c r="N63" s="103">
        <f t="shared" ref="N63" si="18">L63-H63</f>
        <v>-1025.4095000000016</v>
      </c>
      <c r="O63" s="104">
        <f t="shared" ref="O63" si="19">IF((H63)=0,"",(N63/H63))</f>
        <v>-2.7320255324872981E-2</v>
      </c>
      <c r="Q63" s="102"/>
      <c r="S63" s="102"/>
      <c r="U63" s="102"/>
      <c r="W63" s="102"/>
    </row>
    <row r="64" spans="2:23" x14ac:dyDescent="0.2">
      <c r="B64" s="105" t="s">
        <v>43</v>
      </c>
      <c r="C64" s="21"/>
      <c r="D64" s="21"/>
      <c r="E64" s="21"/>
      <c r="F64" s="106">
        <v>0.13</v>
      </c>
      <c r="G64" s="107"/>
      <c r="H64" s="108">
        <f>H63*F64</f>
        <v>4879.2821814749996</v>
      </c>
      <c r="I64" s="109"/>
      <c r="J64" s="110">
        <v>0.13</v>
      </c>
      <c r="K64" s="109"/>
      <c r="L64" s="111">
        <f>L63*J64</f>
        <v>4745.9789464749992</v>
      </c>
      <c r="M64" s="112"/>
      <c r="N64" s="113">
        <f t="shared" si="15"/>
        <v>-133.30323500000031</v>
      </c>
      <c r="O64" s="114">
        <f t="shared" si="10"/>
        <v>-2.7320255324873002E-2</v>
      </c>
      <c r="Q64" s="112"/>
      <c r="S64" s="112"/>
      <c r="U64" s="112"/>
      <c r="W64" s="112"/>
    </row>
    <row r="65" spans="1:23" ht="13.5" thickBot="1" x14ac:dyDescent="0.25">
      <c r="B65" s="115" t="s">
        <v>44</v>
      </c>
      <c r="C65" s="21"/>
      <c r="D65" s="21"/>
      <c r="E65" s="21"/>
      <c r="F65" s="116"/>
      <c r="G65" s="107"/>
      <c r="H65" s="99">
        <f>H63+H64</f>
        <v>42412.222038974993</v>
      </c>
      <c r="I65" s="109"/>
      <c r="J65" s="109"/>
      <c r="K65" s="109"/>
      <c r="L65" s="220">
        <f>L63+L64</f>
        <v>41253.509303974992</v>
      </c>
      <c r="M65" s="112"/>
      <c r="N65" s="103">
        <f t="shared" si="15"/>
        <v>-1158.712735000001</v>
      </c>
      <c r="O65" s="104">
        <f t="shared" si="10"/>
        <v>-2.7320255324872963E-2</v>
      </c>
      <c r="Q65" s="112"/>
      <c r="S65" s="112"/>
      <c r="U65" s="112"/>
      <c r="W65" s="112"/>
    </row>
    <row r="66" spans="1:23" s="85" customFormat="1" ht="8.25" customHeight="1" thickBot="1" x14ac:dyDescent="0.25">
      <c r="B66" s="117"/>
      <c r="C66" s="118"/>
      <c r="D66" s="119"/>
      <c r="E66" s="118"/>
      <c r="F66" s="89"/>
      <c r="G66" s="120"/>
      <c r="H66" s="91"/>
      <c r="I66" s="121"/>
      <c r="J66" s="89"/>
      <c r="K66" s="122"/>
      <c r="L66" s="91"/>
      <c r="M66" s="121"/>
      <c r="N66" s="123"/>
      <c r="O66" s="95"/>
      <c r="Q66" s="143"/>
      <c r="R66" s="212"/>
      <c r="S66" s="143"/>
      <c r="T66" s="212"/>
      <c r="U66" s="143"/>
      <c r="V66" s="212"/>
      <c r="W66" s="143"/>
    </row>
    <row r="67" spans="1:23" s="85" customFormat="1" x14ac:dyDescent="0.2">
      <c r="B67" s="124" t="s">
        <v>45</v>
      </c>
      <c r="C67" s="79"/>
      <c r="D67" s="79"/>
      <c r="E67" s="79"/>
      <c r="F67" s="125"/>
      <c r="G67" s="126"/>
      <c r="H67" s="127">
        <f>SUM(H60:H61,H51,H52:H56)</f>
        <v>39974.794857499997</v>
      </c>
      <c r="I67" s="128"/>
      <c r="J67" s="129"/>
      <c r="K67" s="129"/>
      <c r="L67" s="127">
        <f>SUM(L60:L61,L51,L52:L56)</f>
        <v>38949.385357499996</v>
      </c>
      <c r="M67" s="130"/>
      <c r="N67" s="131">
        <f t="shared" ref="N67:N69" si="20">L67-H67</f>
        <v>-1025.4095000000016</v>
      </c>
      <c r="O67" s="104">
        <f t="shared" ref="O67:O69" si="21">IF((H67)=0,"",(N67/H67))</f>
        <v>-2.5651401180552053E-2</v>
      </c>
      <c r="Q67" s="130"/>
      <c r="R67" s="212"/>
      <c r="S67" s="130"/>
      <c r="T67" s="212"/>
      <c r="U67" s="130"/>
      <c r="V67" s="212"/>
      <c r="W67" s="130"/>
    </row>
    <row r="68" spans="1:23" s="85" customFormat="1" x14ac:dyDescent="0.2">
      <c r="B68" s="132" t="s">
        <v>43</v>
      </c>
      <c r="C68" s="79"/>
      <c r="D68" s="79"/>
      <c r="E68" s="79"/>
      <c r="F68" s="133">
        <v>0.13</v>
      </c>
      <c r="G68" s="126"/>
      <c r="H68" s="134">
        <f>H67*F68</f>
        <v>5196.7233314750001</v>
      </c>
      <c r="I68" s="135"/>
      <c r="J68" s="136">
        <v>0.13</v>
      </c>
      <c r="K68" s="137"/>
      <c r="L68" s="138">
        <f>L67*J68</f>
        <v>5063.4200964749998</v>
      </c>
      <c r="M68" s="139"/>
      <c r="N68" s="140">
        <f t="shared" si="20"/>
        <v>-133.30323500000031</v>
      </c>
      <c r="O68" s="114">
        <f t="shared" si="21"/>
        <v>-2.5651401180552071E-2</v>
      </c>
      <c r="Q68" s="139"/>
      <c r="R68" s="212"/>
      <c r="S68" s="139"/>
      <c r="T68" s="212"/>
      <c r="U68" s="139"/>
      <c r="V68" s="212"/>
      <c r="W68" s="139"/>
    </row>
    <row r="69" spans="1:23" s="85" customFormat="1" ht="13.5" thickBot="1" x14ac:dyDescent="0.25">
      <c r="B69" s="141" t="s">
        <v>44</v>
      </c>
      <c r="C69" s="79"/>
      <c r="D69" s="79"/>
      <c r="E69" s="79"/>
      <c r="F69" s="142"/>
      <c r="G69" s="143"/>
      <c r="H69" s="127">
        <f>H67+H68</f>
        <v>45171.518188974995</v>
      </c>
      <c r="I69" s="135"/>
      <c r="J69" s="135"/>
      <c r="K69" s="135"/>
      <c r="L69" s="219">
        <f>L67+L68</f>
        <v>44012.805453974994</v>
      </c>
      <c r="M69" s="139"/>
      <c r="N69" s="131">
        <f t="shared" si="20"/>
        <v>-1158.712735000001</v>
      </c>
      <c r="O69" s="104">
        <f t="shared" si="21"/>
        <v>-2.5651401180552036E-2</v>
      </c>
      <c r="Q69" s="139"/>
      <c r="R69" s="212"/>
      <c r="S69" s="139"/>
      <c r="T69" s="212"/>
      <c r="U69" s="139"/>
      <c r="V69" s="212"/>
      <c r="W69" s="139"/>
    </row>
    <row r="70" spans="1:23" s="85" customFormat="1" ht="8.25" customHeight="1" thickBot="1" x14ac:dyDescent="0.25">
      <c r="B70" s="117"/>
      <c r="C70" s="118"/>
      <c r="D70" s="119"/>
      <c r="E70" s="118"/>
      <c r="F70" s="144"/>
      <c r="G70" s="145"/>
      <c r="H70" s="146"/>
      <c r="I70" s="147"/>
      <c r="J70" s="144"/>
      <c r="K70" s="120"/>
      <c r="L70" s="148"/>
      <c r="M70" s="121"/>
      <c r="N70" s="149"/>
      <c r="O70" s="95"/>
      <c r="Q70" s="143"/>
      <c r="R70" s="212"/>
      <c r="S70" s="143"/>
      <c r="T70" s="212"/>
      <c r="U70" s="143"/>
      <c r="V70" s="212"/>
      <c r="W70" s="143"/>
    </row>
    <row r="71" spans="1:23" x14ac:dyDescent="0.2">
      <c r="L71" s="150"/>
    </row>
    <row r="72" spans="1:23" x14ac:dyDescent="0.2">
      <c r="B72" s="12" t="s">
        <v>46</v>
      </c>
      <c r="F72" s="151">
        <f>'&gt;50 (100)'!F72</f>
        <v>3.3500000000000002E-2</v>
      </c>
      <c r="J72" s="151">
        <f>+'Res (100)'!J70</f>
        <v>3.3500000000000002E-2</v>
      </c>
    </row>
    <row r="74" spans="1:23" ht="13.5" customHeight="1" x14ac:dyDescent="0.2">
      <c r="Q74" s="210"/>
      <c r="R74" s="210"/>
      <c r="S74" s="6"/>
      <c r="T74" s="6"/>
      <c r="U74" s="6"/>
      <c r="V74" s="6"/>
      <c r="W74" s="6"/>
    </row>
    <row r="75" spans="1:23" ht="12" customHeight="1" x14ac:dyDescent="0.2">
      <c r="A75" s="6" t="s">
        <v>47</v>
      </c>
      <c r="Q75" s="210"/>
      <c r="R75" s="210"/>
      <c r="S75" s="6"/>
      <c r="T75" s="6"/>
      <c r="U75" s="6"/>
      <c r="V75" s="6"/>
      <c r="W75" s="6"/>
    </row>
    <row r="76" spans="1:23" x14ac:dyDescent="0.2">
      <c r="A76" s="6" t="s">
        <v>48</v>
      </c>
      <c r="Q76" s="210"/>
      <c r="R76" s="210"/>
      <c r="S76" s="6"/>
      <c r="T76" s="6"/>
      <c r="U76" s="6"/>
      <c r="V76" s="6"/>
      <c r="W76" s="6"/>
    </row>
    <row r="77" spans="1:23" x14ac:dyDescent="0.2">
      <c r="Q77" s="210"/>
      <c r="R77" s="210"/>
      <c r="S77" s="6"/>
      <c r="T77" s="6"/>
      <c r="U77" s="6"/>
      <c r="V77" s="6"/>
      <c r="W77" s="6"/>
    </row>
    <row r="78" spans="1:23" x14ac:dyDescent="0.2">
      <c r="A78" s="153" t="s">
        <v>136</v>
      </c>
      <c r="Q78" s="210"/>
      <c r="R78" s="210"/>
      <c r="S78" s="6"/>
      <c r="T78" s="6"/>
      <c r="U78" s="6"/>
      <c r="V78" s="6"/>
      <c r="W78" s="6"/>
    </row>
    <row r="79" spans="1:23" x14ac:dyDescent="0.2">
      <c r="A79" s="11" t="s">
        <v>49</v>
      </c>
      <c r="Q79" s="210"/>
      <c r="R79" s="210"/>
      <c r="S79" s="6"/>
      <c r="T79" s="6"/>
      <c r="U79" s="6"/>
      <c r="V79" s="6"/>
      <c r="W79" s="6"/>
    </row>
    <row r="80" spans="1:23" x14ac:dyDescent="0.2">
      <c r="Q80" s="210"/>
      <c r="R80" s="210"/>
      <c r="S80" s="6"/>
      <c r="T80" s="6"/>
      <c r="U80" s="6"/>
      <c r="V80" s="6"/>
      <c r="W80" s="6"/>
    </row>
    <row r="81" spans="1:23" x14ac:dyDescent="0.2">
      <c r="A81" s="6" t="s">
        <v>135</v>
      </c>
      <c r="Q81" s="210"/>
      <c r="R81" s="210"/>
      <c r="S81" s="6"/>
      <c r="T81" s="6"/>
      <c r="U81" s="6"/>
      <c r="V81" s="6"/>
      <c r="W81" s="6"/>
    </row>
    <row r="82" spans="1:23" x14ac:dyDescent="0.2">
      <c r="A82" s="6" t="s">
        <v>50</v>
      </c>
      <c r="Q82" s="210"/>
      <c r="R82" s="210"/>
      <c r="S82" s="6"/>
      <c r="T82" s="6"/>
      <c r="U82" s="6"/>
      <c r="V82" s="6"/>
      <c r="W82" s="6"/>
    </row>
    <row r="83" spans="1:23" x14ac:dyDescent="0.2">
      <c r="A83" s="6" t="s">
        <v>51</v>
      </c>
      <c r="Q83" s="210"/>
      <c r="R83" s="210"/>
      <c r="S83" s="6"/>
      <c r="T83" s="6"/>
      <c r="U83" s="6"/>
      <c r="V83" s="6"/>
      <c r="W83" s="6"/>
    </row>
    <row r="84" spans="1:23" x14ac:dyDescent="0.2">
      <c r="A84" s="6" t="s">
        <v>52</v>
      </c>
      <c r="Q84" s="210"/>
      <c r="R84" s="210"/>
      <c r="S84" s="6"/>
      <c r="T84" s="6"/>
      <c r="U84" s="6"/>
      <c r="V84" s="6"/>
      <c r="W84" s="6"/>
    </row>
    <row r="85" spans="1:23" x14ac:dyDescent="0.2">
      <c r="A85" s="6" t="s">
        <v>53</v>
      </c>
      <c r="Q85" s="210"/>
      <c r="R85" s="210"/>
      <c r="S85" s="6"/>
      <c r="T85" s="6"/>
      <c r="U85" s="6"/>
      <c r="V85" s="6"/>
      <c r="W85" s="6"/>
    </row>
    <row r="86" spans="1:23" x14ac:dyDescent="0.2">
      <c r="Q86" s="210"/>
      <c r="R86" s="210"/>
      <c r="S86" s="6"/>
      <c r="T86" s="6"/>
      <c r="U86" s="6"/>
      <c r="V86" s="6"/>
      <c r="W86" s="6"/>
    </row>
    <row r="87" spans="1:23" x14ac:dyDescent="0.2">
      <c r="A87" s="152"/>
      <c r="B87" s="6" t="s">
        <v>54</v>
      </c>
      <c r="Q87" s="210"/>
      <c r="R87" s="210"/>
      <c r="S87" s="6"/>
      <c r="T87" s="6"/>
      <c r="U87" s="6"/>
      <c r="V87" s="6"/>
      <c r="W87" s="6"/>
    </row>
    <row r="88" spans="1:23" x14ac:dyDescent="0.2">
      <c r="Q88" s="210"/>
      <c r="R88" s="210"/>
      <c r="S88" s="6"/>
      <c r="T88" s="6"/>
      <c r="U88" s="6"/>
      <c r="V88" s="6"/>
      <c r="W88" s="6"/>
    </row>
    <row r="89" spans="1:23" x14ac:dyDescent="0.2">
      <c r="B89" s="153" t="s">
        <v>55</v>
      </c>
      <c r="Q89" s="210"/>
      <c r="R89" s="210"/>
      <c r="S89" s="6"/>
      <c r="T89" s="6"/>
      <c r="U89" s="6"/>
      <c r="V89" s="6"/>
      <c r="W89"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0 D66 D23:D38 D52:D62 D40:D47 D49:D50">
      <formula1>"Monthly, per kWh, per kW"</formula1>
    </dataValidation>
    <dataValidation type="list" allowBlank="1" showInputMessage="1" showErrorMessage="1" sqref="E49:E50 E70 E66 E52:E62 E23:E38 E40:E47">
      <formula1>#REF!</formula1>
    </dataValidation>
  </dataValidations>
  <pageMargins left="0.74803149606299213" right="0.74803149606299213" top="0.98425196850393704" bottom="0.98425196850393704" header="0.51181102362204722" footer="0.51181102362204722"/>
  <pageSetup scale="60" fitToWidth="2"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6</xdr:col>
                    <xdr:colOff>466725</xdr:colOff>
                    <xdr:row>16</xdr:row>
                    <xdr:rowOff>190500</xdr:rowOff>
                  </from>
                  <to>
                    <xdr:col>9</xdr:col>
                    <xdr:colOff>180975</xdr:colOff>
                    <xdr:row>18</xdr:row>
                    <xdr:rowOff>47625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9</xdr:col>
                    <xdr:colOff>342900</xdr:colOff>
                    <xdr:row>16</xdr:row>
                    <xdr:rowOff>133350</xdr:rowOff>
                  </from>
                  <to>
                    <xdr:col>14</xdr:col>
                    <xdr:colOff>619125</xdr:colOff>
                    <xdr:row>18</xdr:row>
                    <xdr:rowOff>152400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89"/>
  <sheetViews>
    <sheetView showGridLines="0" view="pageBreakPreview" zoomScale="70" zoomScaleNormal="85" zoomScaleSheetLayoutView="70" workbookViewId="0">
      <selection activeCell="O41" sqref="O4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9" style="6" bestFit="1" customWidth="1"/>
    <col min="8" max="8" width="16.85546875" style="6" bestFit="1" customWidth="1"/>
    <col min="9" max="9" width="2.85546875" style="6" customWidth="1"/>
    <col min="10" max="10" width="12.7109375" style="6" bestFit="1" customWidth="1"/>
    <col min="11" max="11" width="9.85546875" style="6" bestFit="1" customWidth="1"/>
    <col min="12" max="12" width="16.28515625" style="6" bestFit="1" customWidth="1"/>
    <col min="13" max="13" width="2.85546875" style="6" customWidth="1"/>
    <col min="14" max="14" width="15.140625" style="6"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85546875" style="21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57</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f>51100*5</f>
        <v>255500</v>
      </c>
      <c r="G18" s="12" t="s">
        <v>6</v>
      </c>
    </row>
    <row r="19" spans="2:23" x14ac:dyDescent="0.2">
      <c r="B19" s="11"/>
      <c r="F19" s="13">
        <v>1000</v>
      </c>
      <c r="G19" s="6" t="s">
        <v>58</v>
      </c>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+'&gt;50 (100)'!F23</f>
        <v>200</v>
      </c>
      <c r="G23" s="25">
        <v>1</v>
      </c>
      <c r="H23" s="26">
        <f>G23*F23</f>
        <v>200</v>
      </c>
      <c r="I23" s="27"/>
      <c r="J23" s="24">
        <f>+'&gt;50 (100)'!J23</f>
        <v>200</v>
      </c>
      <c r="K23" s="29">
        <v>1</v>
      </c>
      <c r="L23" s="26">
        <f>K23*J23</f>
        <v>200</v>
      </c>
      <c r="M23" s="27"/>
      <c r="N23" s="30">
        <f>L23-H23</f>
        <v>0</v>
      </c>
      <c r="O23" s="31">
        <f>IF((H23)=0,"",(N23/H23))</f>
        <v>0</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59</v>
      </c>
      <c r="E29" s="23"/>
      <c r="F29" s="24">
        <f>+'&gt;50 (100)'!F29</f>
        <v>4.0705999999999998</v>
      </c>
      <c r="G29" s="51">
        <f>+$F$19</f>
        <v>1000</v>
      </c>
      <c r="H29" s="26">
        <f t="shared" si="0"/>
        <v>4070.6</v>
      </c>
      <c r="I29" s="27"/>
      <c r="J29" s="24">
        <f>+'&gt;50 (100)'!J29</f>
        <v>4.3244999999999996</v>
      </c>
      <c r="K29" s="51">
        <f>+$F$19</f>
        <v>1000</v>
      </c>
      <c r="L29" s="26">
        <f t="shared" si="1"/>
        <v>4324.5</v>
      </c>
      <c r="M29" s="27"/>
      <c r="N29" s="30">
        <f t="shared" si="2"/>
        <v>253.90000000000009</v>
      </c>
      <c r="O29" s="31">
        <f t="shared" si="3"/>
        <v>6.2374097184690239E-2</v>
      </c>
      <c r="Q29" s="107"/>
      <c r="S29" s="107"/>
      <c r="U29" s="107"/>
      <c r="W29" s="107"/>
    </row>
    <row r="30" spans="2:23" x14ac:dyDescent="0.2">
      <c r="B30" s="21" t="s">
        <v>22</v>
      </c>
      <c r="C30" s="21"/>
      <c r="D30" s="22"/>
      <c r="E30" s="23"/>
      <c r="F30" s="24"/>
      <c r="G30" s="25">
        <f t="shared" ref="G30" si="4">$F$18</f>
        <v>255500</v>
      </c>
      <c r="H30" s="26">
        <f t="shared" si="0"/>
        <v>0</v>
      </c>
      <c r="I30" s="27"/>
      <c r="J30" s="24"/>
      <c r="K30" s="25">
        <f t="shared" ref="K30:K38" si="5">$F$18</f>
        <v>255500</v>
      </c>
      <c r="L30" s="26">
        <f t="shared" si="1"/>
        <v>0</v>
      </c>
      <c r="M30" s="27"/>
      <c r="N30" s="30">
        <f t="shared" si="2"/>
        <v>0</v>
      </c>
      <c r="O30" s="31" t="str">
        <f t="shared" si="3"/>
        <v/>
      </c>
      <c r="Q30" s="107"/>
      <c r="S30" s="107"/>
      <c r="U30" s="107"/>
      <c r="W30" s="107"/>
    </row>
    <row r="31" spans="2:23" x14ac:dyDescent="0.2">
      <c r="B31" s="21" t="s">
        <v>23</v>
      </c>
      <c r="C31" s="21"/>
      <c r="D31" s="22" t="s">
        <v>59</v>
      </c>
      <c r="E31" s="23"/>
      <c r="F31" s="24">
        <f>+'&gt;50 (100)'!F31</f>
        <v>-7.7109999999999998E-2</v>
      </c>
      <c r="G31" s="51">
        <f>+$F$19</f>
        <v>1000</v>
      </c>
      <c r="H31" s="26">
        <f t="shared" si="0"/>
        <v>-77.11</v>
      </c>
      <c r="I31" s="27"/>
      <c r="J31" s="24">
        <f>+'&gt;50 (100)'!J31</f>
        <v>0</v>
      </c>
      <c r="K31" s="51">
        <f>+$F$19</f>
        <v>1000</v>
      </c>
      <c r="L31" s="26">
        <f t="shared" si="1"/>
        <v>0</v>
      </c>
      <c r="M31" s="27"/>
      <c r="N31" s="30">
        <f t="shared" si="2"/>
        <v>77.11</v>
      </c>
      <c r="O31" s="31">
        <f t="shared" si="3"/>
        <v>-1</v>
      </c>
      <c r="Q31" s="107"/>
      <c r="S31" s="107"/>
      <c r="U31" s="107"/>
      <c r="W31" s="107"/>
    </row>
    <row r="32" spans="2:23" x14ac:dyDescent="0.2">
      <c r="B32" s="33"/>
      <c r="C32" s="21"/>
      <c r="D32" s="22"/>
      <c r="E32" s="23"/>
      <c r="F32" s="24"/>
      <c r="G32" s="25">
        <f t="shared" ref="G32:G38" si="6">$F$18</f>
        <v>255500</v>
      </c>
      <c r="H32" s="26">
        <f t="shared" si="0"/>
        <v>0</v>
      </c>
      <c r="I32" s="27"/>
      <c r="J32" s="28"/>
      <c r="K32" s="25">
        <f t="shared" si="5"/>
        <v>255500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255500</v>
      </c>
      <c r="H33" s="26">
        <f t="shared" si="0"/>
        <v>0</v>
      </c>
      <c r="I33" s="27"/>
      <c r="J33" s="28"/>
      <c r="K33" s="25">
        <f t="shared" si="5"/>
        <v>255500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255500</v>
      </c>
      <c r="H34" s="26">
        <f t="shared" si="0"/>
        <v>0</v>
      </c>
      <c r="I34" s="27"/>
      <c r="J34" s="28"/>
      <c r="K34" s="25">
        <f t="shared" si="5"/>
        <v>255500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255500</v>
      </c>
      <c r="H35" s="26">
        <f t="shared" si="0"/>
        <v>0</v>
      </c>
      <c r="I35" s="27"/>
      <c r="J35" s="28"/>
      <c r="K35" s="25">
        <f t="shared" si="5"/>
        <v>255500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255500</v>
      </c>
      <c r="H36" s="26">
        <f t="shared" si="0"/>
        <v>0</v>
      </c>
      <c r="I36" s="27"/>
      <c r="J36" s="28"/>
      <c r="K36" s="25">
        <f t="shared" si="5"/>
        <v>255500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255500</v>
      </c>
      <c r="H37" s="26">
        <f t="shared" si="0"/>
        <v>0</v>
      </c>
      <c r="I37" s="27"/>
      <c r="J37" s="28"/>
      <c r="K37" s="25">
        <f t="shared" si="5"/>
        <v>255500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255500</v>
      </c>
      <c r="H38" s="26">
        <f t="shared" si="0"/>
        <v>0</v>
      </c>
      <c r="I38" s="27"/>
      <c r="J38" s="28"/>
      <c r="K38" s="25">
        <f t="shared" si="5"/>
        <v>255500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4193.4900000000007</v>
      </c>
      <c r="I39" s="40"/>
      <c r="J39" s="41"/>
      <c r="K39" s="42"/>
      <c r="L39" s="39">
        <f>SUM(L23:L38)</f>
        <v>4524.5</v>
      </c>
      <c r="M39" s="40"/>
      <c r="N39" s="43">
        <f t="shared" si="2"/>
        <v>331.00999999999931</v>
      </c>
      <c r="O39" s="44">
        <f t="shared" si="3"/>
        <v>7.8934252853828019E-2</v>
      </c>
      <c r="Q39" s="107"/>
      <c r="R39" s="211"/>
      <c r="S39" s="107"/>
      <c r="T39" s="211"/>
      <c r="U39" s="107"/>
      <c r="V39" s="211"/>
      <c r="W39" s="107"/>
    </row>
    <row r="40" spans="2:23" ht="25.5" x14ac:dyDescent="0.2">
      <c r="B40" s="46" t="s">
        <v>25</v>
      </c>
      <c r="C40" s="21"/>
      <c r="D40" s="22" t="s">
        <v>59</v>
      </c>
      <c r="E40" s="23"/>
      <c r="F40" s="24">
        <f>'Proposed Rates'!D40</f>
        <v>-0.35541499999999998</v>
      </c>
      <c r="G40" s="51">
        <f>+$F$19</f>
        <v>1000</v>
      </c>
      <c r="H40" s="26">
        <f>G40*F40</f>
        <v>-355.41499999999996</v>
      </c>
      <c r="I40" s="27"/>
      <c r="J40" s="24">
        <f>+'&gt;50 (100)'!J40</f>
        <v>1.17E-2</v>
      </c>
      <c r="K40" s="234">
        <f>+$F$19</f>
        <v>1000</v>
      </c>
      <c r="L40" s="26">
        <f>K40*J40</f>
        <v>11.700000000000001</v>
      </c>
      <c r="M40" s="27"/>
      <c r="N40" s="30">
        <f>L40-H40</f>
        <v>367.11499999999995</v>
      </c>
      <c r="O40" s="31">
        <f>IF((H40)=0,"",(N40/H40))</f>
        <v>-1.0329192633963113</v>
      </c>
      <c r="Q40" s="107"/>
      <c r="S40" s="107"/>
      <c r="U40" s="107"/>
      <c r="W40" s="107"/>
    </row>
    <row r="41" spans="2:23" ht="38.25" x14ac:dyDescent="0.2">
      <c r="B41" s="154" t="s">
        <v>60</v>
      </c>
      <c r="C41" s="21"/>
      <c r="D41" s="22" t="s">
        <v>21</v>
      </c>
      <c r="E41" s="23"/>
      <c r="F41" s="24">
        <f>'Proposed Rates'!D54</f>
        <v>-2.9000000000000001E-2</v>
      </c>
      <c r="G41" s="51">
        <f>+F19</f>
        <v>1000</v>
      </c>
      <c r="H41" s="26">
        <f t="shared" ref="H41:H46" si="7">G41*F41</f>
        <v>-29</v>
      </c>
      <c r="I41" s="47"/>
      <c r="J41" s="24">
        <f>+'&gt;50 (100)'!J41</f>
        <v>1.29E-2</v>
      </c>
      <c r="K41" s="25">
        <f>+$G$41</f>
        <v>1000</v>
      </c>
      <c r="L41" s="26">
        <f t="shared" ref="L41:L46" si="8">K41*J41</f>
        <v>12.9</v>
      </c>
      <c r="M41" s="48"/>
      <c r="N41" s="30">
        <f t="shared" ref="N41:N46" si="9">L41-H41</f>
        <v>41.9</v>
      </c>
      <c r="O41" s="31">
        <f t="shared" ref="O41:O65" si="10">IF((H41)=0,"",(N41/H41))</f>
        <v>-1.4448275862068964</v>
      </c>
      <c r="Q41" s="107"/>
      <c r="S41" s="107"/>
      <c r="U41" s="107"/>
      <c r="W41" s="107"/>
    </row>
    <row r="42" spans="2:23" ht="38.25" x14ac:dyDescent="0.2">
      <c r="B42" s="46" t="str">
        <f>+'&gt;50 (100)'!B42</f>
        <v xml:space="preserve">Deferral/Variance Account Disposition Rate Rider -  Global Adjustment </v>
      </c>
      <c r="C42" s="21"/>
      <c r="D42" s="22" t="s">
        <v>21</v>
      </c>
      <c r="E42" s="23"/>
      <c r="F42" s="24">
        <f>'Proposed Rates'!D83</f>
        <v>2.81E-3</v>
      </c>
      <c r="G42" s="25">
        <f t="shared" ref="G42" si="11">$F$18</f>
        <v>255500</v>
      </c>
      <c r="H42" s="26">
        <f t="shared" si="7"/>
        <v>717.95500000000004</v>
      </c>
      <c r="I42" s="47"/>
      <c r="J42" s="24">
        <f>+'&gt;50 (100)'!J42</f>
        <v>-2.0999999999999999E-3</v>
      </c>
      <c r="K42" s="25">
        <f t="shared" ref="K42" si="12">$F$18</f>
        <v>255500</v>
      </c>
      <c r="L42" s="26">
        <f t="shared" si="8"/>
        <v>-536.54999999999995</v>
      </c>
      <c r="M42" s="48"/>
      <c r="N42" s="30">
        <f t="shared" si="9"/>
        <v>-1254.5050000000001</v>
      </c>
      <c r="O42" s="31">
        <f t="shared" si="10"/>
        <v>-1.7473309608540926</v>
      </c>
      <c r="Q42" s="107"/>
      <c r="S42" s="107"/>
      <c r="U42" s="107"/>
      <c r="W42" s="107"/>
    </row>
    <row r="43" spans="2:23" ht="38.25" x14ac:dyDescent="0.2">
      <c r="B43" s="46" t="str">
        <f>+'&gt;50 (100)'!B43</f>
        <v>Deferral / Variance Accounts Balances (excluding Global Adj.) - NON-WMP</v>
      </c>
      <c r="C43" s="21"/>
      <c r="D43" s="22" t="s">
        <v>59</v>
      </c>
      <c r="E43" s="23"/>
      <c r="F43" s="24">
        <f>'Proposed Rates'!D99</f>
        <v>-0.63453599999999999</v>
      </c>
      <c r="G43" s="51">
        <f>$F$19</f>
        <v>1000</v>
      </c>
      <c r="H43" s="26">
        <f t="shared" si="7"/>
        <v>-634.53599999999994</v>
      </c>
      <c r="I43" s="47"/>
      <c r="J43" s="24">
        <f>+'&gt;50 (100)'!J43</f>
        <v>-0.9869</v>
      </c>
      <c r="K43" s="25">
        <f>+$G$41</f>
        <v>1000</v>
      </c>
      <c r="L43" s="26">
        <f t="shared" si="8"/>
        <v>-986.9</v>
      </c>
      <c r="M43" s="48"/>
      <c r="N43" s="30">
        <f t="shared" si="9"/>
        <v>-352.36400000000003</v>
      </c>
      <c r="O43" s="31">
        <f t="shared" si="10"/>
        <v>0.55530970662027068</v>
      </c>
      <c r="Q43" s="107"/>
      <c r="S43" s="107"/>
      <c r="U43" s="107"/>
      <c r="W43" s="107"/>
    </row>
    <row r="44" spans="2:23" ht="38.25" x14ac:dyDescent="0.2">
      <c r="B44" s="46" t="s">
        <v>128</v>
      </c>
      <c r="C44" s="21"/>
      <c r="D44" s="22" t="s">
        <v>21</v>
      </c>
      <c r="E44" s="23"/>
      <c r="F44" s="24">
        <f>+'&gt;50 (100)'!F44</f>
        <v>0</v>
      </c>
      <c r="G44" s="25">
        <f t="shared" ref="G44" si="13">$F$18</f>
        <v>255500</v>
      </c>
      <c r="H44" s="26">
        <f t="shared" si="7"/>
        <v>0</v>
      </c>
      <c r="I44" s="236"/>
      <c r="J44" s="237">
        <f>+'&gt;50 (100)'!J44</f>
        <v>2.7E-4</v>
      </c>
      <c r="K44" s="25">
        <f t="shared" ref="K44" si="14">$F$18</f>
        <v>255500</v>
      </c>
      <c r="L44" s="26">
        <f t="shared" si="8"/>
        <v>68.984999999999999</v>
      </c>
      <c r="M44" s="236"/>
      <c r="N44" s="30">
        <f t="shared" si="9"/>
        <v>68.984999999999999</v>
      </c>
      <c r="O44" s="31" t="str">
        <f t="shared" si="10"/>
        <v/>
      </c>
      <c r="Q44" s="107"/>
      <c r="S44" s="107"/>
      <c r="U44" s="107"/>
      <c r="W44" s="107"/>
    </row>
    <row r="45" spans="2:23" x14ac:dyDescent="0.2">
      <c r="B45" s="49" t="s">
        <v>26</v>
      </c>
      <c r="C45" s="21"/>
      <c r="D45" s="22" t="s">
        <v>59</v>
      </c>
      <c r="E45" s="23"/>
      <c r="F45" s="50">
        <f>'&gt;50 (100)'!F45</f>
        <v>2.5260000000000001E-2</v>
      </c>
      <c r="G45" s="51">
        <f>+$F$19</f>
        <v>1000</v>
      </c>
      <c r="H45" s="26">
        <f>G45*F45</f>
        <v>25.26</v>
      </c>
      <c r="I45" s="27"/>
      <c r="J45" s="52">
        <f>'&gt;50 (100)'!J45</f>
        <v>2.632E-2</v>
      </c>
      <c r="K45" s="51">
        <f>+$F$19</f>
        <v>1000</v>
      </c>
      <c r="L45" s="26">
        <f>K45*J45</f>
        <v>26.32</v>
      </c>
      <c r="M45" s="27"/>
      <c r="N45" s="30">
        <f>L45-H45</f>
        <v>1.0599999999999987</v>
      </c>
      <c r="O45" s="31">
        <f>IF((H45)=0,"",(N45/H45))</f>
        <v>4.1963578780680869E-2</v>
      </c>
      <c r="Q45" s="107"/>
      <c r="S45" s="107"/>
      <c r="U45" s="107"/>
      <c r="W45" s="107"/>
    </row>
    <row r="46" spans="2:23" x14ac:dyDescent="0.2">
      <c r="B46" s="49" t="s">
        <v>27</v>
      </c>
      <c r="C46" s="21"/>
      <c r="D46" s="22"/>
      <c r="E46" s="23"/>
      <c r="F46" s="53">
        <f>IF(ISBLANK(D16)=TRUE, 0, IF(D16="TOU", 0.65*$F$57+0.17*$F$58+0.18*$F$59, IF(AND(D16="non-TOU", G61&gt;0), F61,F60)))</f>
        <v>0.11139</v>
      </c>
      <c r="G46" s="54">
        <f>$F$18*(1+$F$72)-$F$18</f>
        <v>8559.25</v>
      </c>
      <c r="H46" s="26">
        <f t="shared" si="7"/>
        <v>953.41485750000004</v>
      </c>
      <c r="I46" s="27"/>
      <c r="J46" s="55">
        <f>0.65*$J$57+0.17*$J$58+0.18*$J$59</f>
        <v>0.11139</v>
      </c>
      <c r="K46" s="54">
        <f>$F$18*(1+$J$72)-$F$18</f>
        <v>8559.25</v>
      </c>
      <c r="L46" s="26">
        <f t="shared" si="8"/>
        <v>953.41485750000004</v>
      </c>
      <c r="M46" s="27"/>
      <c r="N46" s="30">
        <f t="shared" si="9"/>
        <v>0</v>
      </c>
      <c r="O46" s="31">
        <f t="shared" si="10"/>
        <v>0</v>
      </c>
      <c r="Q46" s="107"/>
      <c r="S46" s="107"/>
      <c r="U46" s="107"/>
      <c r="W46" s="107"/>
    </row>
    <row r="47" spans="2:23" x14ac:dyDescent="0.2">
      <c r="B47" s="49" t="s">
        <v>28</v>
      </c>
      <c r="C47" s="21"/>
      <c r="D47" s="22" t="s">
        <v>18</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5.5" x14ac:dyDescent="0.2">
      <c r="B48" s="56" t="s">
        <v>29</v>
      </c>
      <c r="C48" s="57"/>
      <c r="D48" s="57"/>
      <c r="E48" s="57"/>
      <c r="F48" s="58"/>
      <c r="G48" s="59"/>
      <c r="H48" s="60">
        <f>SUM(H40:H47)+H39</f>
        <v>4871.1688575000007</v>
      </c>
      <c r="I48" s="40"/>
      <c r="J48" s="59"/>
      <c r="K48" s="61"/>
      <c r="L48" s="60">
        <f>SUM(L40:L47)+L39</f>
        <v>4074.3698574999999</v>
      </c>
      <c r="M48" s="40"/>
      <c r="N48" s="43">
        <f t="shared" ref="N48:N65" si="15">L48-H48</f>
        <v>-796.79900000000089</v>
      </c>
      <c r="O48" s="44">
        <f t="shared" si="10"/>
        <v>-0.16357449788939096</v>
      </c>
      <c r="Q48" s="107"/>
      <c r="S48" s="107"/>
      <c r="U48" s="107"/>
      <c r="W48" s="107"/>
    </row>
    <row r="49" spans="2:23" x14ac:dyDescent="0.2">
      <c r="B49" s="27" t="s">
        <v>30</v>
      </c>
      <c r="C49" s="27"/>
      <c r="D49" s="62" t="s">
        <v>59</v>
      </c>
      <c r="E49" s="63"/>
      <c r="F49" s="28">
        <f>'&gt;50 (100)'!F49</f>
        <v>2.8607999999999998</v>
      </c>
      <c r="G49" s="64">
        <f>+$F$19</f>
        <v>1000</v>
      </c>
      <c r="H49" s="26">
        <f>G49*F49</f>
        <v>2860.7999999999997</v>
      </c>
      <c r="I49" s="27"/>
      <c r="J49" s="28">
        <f>'&gt;50 (100)'!J49</f>
        <v>2.8016000000000001</v>
      </c>
      <c r="K49" s="64">
        <f>+$F$19</f>
        <v>1000</v>
      </c>
      <c r="L49" s="26">
        <f>K49*J49</f>
        <v>2801.6</v>
      </c>
      <c r="M49" s="27"/>
      <c r="N49" s="30">
        <f t="shared" si="15"/>
        <v>-59.199999999999818</v>
      </c>
      <c r="O49" s="31">
        <f t="shared" si="10"/>
        <v>-2.0693512304250497E-2</v>
      </c>
      <c r="Q49" s="107"/>
      <c r="S49" s="107"/>
      <c r="U49" s="107"/>
      <c r="W49" s="107"/>
    </row>
    <row r="50" spans="2:23" ht="25.5" x14ac:dyDescent="0.2">
      <c r="B50" s="66" t="s">
        <v>31</v>
      </c>
      <c r="C50" s="27"/>
      <c r="D50" s="62" t="s">
        <v>59</v>
      </c>
      <c r="E50" s="63"/>
      <c r="F50" s="28">
        <f>'&gt;50 (100)'!F50</f>
        <v>1.8267</v>
      </c>
      <c r="G50" s="64">
        <f>G49</f>
        <v>1000</v>
      </c>
      <c r="H50" s="26">
        <f>G50*F50</f>
        <v>1826.7</v>
      </c>
      <c r="I50" s="27"/>
      <c r="J50" s="28">
        <f>'&gt;50 (100)'!J50</f>
        <v>1.8173999999999999</v>
      </c>
      <c r="K50" s="64">
        <f>K49</f>
        <v>1000</v>
      </c>
      <c r="L50" s="26">
        <f>K50*J50</f>
        <v>1817.3999999999999</v>
      </c>
      <c r="M50" s="27"/>
      <c r="N50" s="30">
        <f t="shared" si="15"/>
        <v>-9.3000000000001819</v>
      </c>
      <c r="O50" s="31">
        <f t="shared" si="10"/>
        <v>-5.0911479717524397E-3</v>
      </c>
      <c r="Q50" s="107"/>
      <c r="S50" s="107"/>
      <c r="U50" s="107"/>
      <c r="W50" s="107"/>
    </row>
    <row r="51" spans="2:23" ht="25.5" x14ac:dyDescent="0.2">
      <c r="B51" s="56" t="s">
        <v>32</v>
      </c>
      <c r="C51" s="35"/>
      <c r="D51" s="35"/>
      <c r="E51" s="35"/>
      <c r="F51" s="67"/>
      <c r="G51" s="59"/>
      <c r="H51" s="60">
        <f>SUM(H48:H50)</f>
        <v>9558.6688575000007</v>
      </c>
      <c r="I51" s="68"/>
      <c r="J51" s="69"/>
      <c r="K51" s="59"/>
      <c r="L51" s="60">
        <f>SUM(L48:L50)</f>
        <v>8693.3698574999999</v>
      </c>
      <c r="M51" s="68"/>
      <c r="N51" s="43">
        <f t="shared" si="15"/>
        <v>-865.29900000000089</v>
      </c>
      <c r="O51" s="44">
        <f t="shared" si="10"/>
        <v>-9.0525052483752796E-2</v>
      </c>
      <c r="Q51" s="102"/>
      <c r="S51" s="102"/>
      <c r="U51" s="102"/>
      <c r="W51" s="102"/>
    </row>
    <row r="52" spans="2:23" ht="25.5" x14ac:dyDescent="0.2">
      <c r="B52" s="71" t="s">
        <v>33</v>
      </c>
      <c r="C52" s="21"/>
      <c r="D52" s="22" t="s">
        <v>21</v>
      </c>
      <c r="E52" s="23"/>
      <c r="F52" s="72">
        <f>'&gt;50 (100)'!F52</f>
        <v>3.5999999999999999E-3</v>
      </c>
      <c r="G52" s="64">
        <f>+$F$18+G46</f>
        <v>264059.25</v>
      </c>
      <c r="H52" s="73">
        <f t="shared" ref="H52:H59" si="16">G52*F52</f>
        <v>950.61329999999998</v>
      </c>
      <c r="I52" s="27"/>
      <c r="J52" s="72">
        <f>F52</f>
        <v>3.5999999999999999E-3</v>
      </c>
      <c r="K52" s="64">
        <f>+$F$18+K46</f>
        <v>264059.25</v>
      </c>
      <c r="L52" s="73">
        <f t="shared" ref="L52:L59" si="17">K52*J52</f>
        <v>950.61329999999998</v>
      </c>
      <c r="M52" s="27"/>
      <c r="N52" s="30">
        <f t="shared" si="15"/>
        <v>0</v>
      </c>
      <c r="O52" s="74">
        <f t="shared" si="10"/>
        <v>0</v>
      </c>
      <c r="Q52" s="107"/>
      <c r="S52" s="107"/>
      <c r="U52" s="107"/>
      <c r="W52" s="107"/>
    </row>
    <row r="53" spans="2:23" ht="25.5" x14ac:dyDescent="0.2">
      <c r="B53" s="71" t="s">
        <v>34</v>
      </c>
      <c r="C53" s="21"/>
      <c r="D53" s="22" t="s">
        <v>21</v>
      </c>
      <c r="E53" s="23"/>
      <c r="F53" s="72">
        <f>'&gt;50 (100)'!F53</f>
        <v>1.2999999999999999E-3</v>
      </c>
      <c r="G53" s="64">
        <f>G52</f>
        <v>264059.25</v>
      </c>
      <c r="H53" s="73">
        <f t="shared" si="16"/>
        <v>343.27702499999998</v>
      </c>
      <c r="I53" s="27"/>
      <c r="J53" s="72">
        <f>F53</f>
        <v>1.2999999999999999E-3</v>
      </c>
      <c r="K53" s="64">
        <f>K52</f>
        <v>264059.25</v>
      </c>
      <c r="L53" s="73">
        <f t="shared" si="17"/>
        <v>343.27702499999998</v>
      </c>
      <c r="M53" s="27"/>
      <c r="N53" s="30">
        <f t="shared" si="15"/>
        <v>0</v>
      </c>
      <c r="O53" s="74">
        <f t="shared" si="10"/>
        <v>0</v>
      </c>
      <c r="Q53" s="107"/>
      <c r="S53" s="107"/>
      <c r="U53" s="107"/>
      <c r="W53" s="107"/>
    </row>
    <row r="54" spans="2:23" x14ac:dyDescent="0.2">
      <c r="B54" s="21" t="s">
        <v>35</v>
      </c>
      <c r="C54" s="21"/>
      <c r="D54" s="22" t="s">
        <v>18</v>
      </c>
      <c r="E54" s="23"/>
      <c r="F54" s="72">
        <f>'&gt;50 (100)'!F54</f>
        <v>0.25</v>
      </c>
      <c r="G54" s="25">
        <v>1</v>
      </c>
      <c r="H54" s="73">
        <f t="shared" si="16"/>
        <v>0.25</v>
      </c>
      <c r="I54" s="27"/>
      <c r="J54" s="72">
        <f>'&gt;50 (100)'!J54</f>
        <v>0.25</v>
      </c>
      <c r="K54" s="29">
        <v>1</v>
      </c>
      <c r="L54" s="73">
        <f t="shared" si="17"/>
        <v>0.25</v>
      </c>
      <c r="M54" s="27"/>
      <c r="N54" s="30">
        <f t="shared" si="15"/>
        <v>0</v>
      </c>
      <c r="O54" s="74">
        <f t="shared" si="10"/>
        <v>0</v>
      </c>
      <c r="Q54" s="107"/>
      <c r="S54" s="107"/>
      <c r="U54" s="107"/>
      <c r="W54" s="107"/>
    </row>
    <row r="55" spans="2:23" x14ac:dyDescent="0.2">
      <c r="B55" s="21" t="s">
        <v>122</v>
      </c>
      <c r="C55" s="21"/>
      <c r="D55" s="22"/>
      <c r="E55" s="23"/>
      <c r="F55" s="72">
        <f>'Proposed Rates'!D221</f>
        <v>1.1000000000000001E-3</v>
      </c>
      <c r="G55" s="64">
        <f>G52</f>
        <v>264059.25</v>
      </c>
      <c r="H55" s="73">
        <f>G55*F55</f>
        <v>290.46517500000004</v>
      </c>
      <c r="I55" s="27"/>
      <c r="J55" s="72">
        <f>F55</f>
        <v>1.1000000000000001E-3</v>
      </c>
      <c r="K55" s="64">
        <f>K52</f>
        <v>264059.25</v>
      </c>
      <c r="L55" s="73">
        <f>K55*J55</f>
        <v>290.46517500000004</v>
      </c>
      <c r="M55" s="27"/>
      <c r="N55" s="30"/>
      <c r="O55" s="74"/>
      <c r="Q55" s="107"/>
      <c r="S55" s="107"/>
      <c r="U55" s="107"/>
      <c r="W55" s="107"/>
    </row>
    <row r="56" spans="2:23" x14ac:dyDescent="0.2">
      <c r="B56" s="21" t="s">
        <v>36</v>
      </c>
      <c r="C56" s="21"/>
      <c r="D56" s="22"/>
      <c r="E56" s="23"/>
      <c r="F56" s="72">
        <f>'&gt;50 (100)'!F56</f>
        <v>6.94E-3</v>
      </c>
      <c r="G56" s="75">
        <f>$F$18</f>
        <v>255500</v>
      </c>
      <c r="H56" s="73">
        <f t="shared" si="16"/>
        <v>1773.17</v>
      </c>
      <c r="I56" s="27"/>
      <c r="J56" s="72">
        <f>+F56</f>
        <v>6.94E-3</v>
      </c>
      <c r="K56" s="76">
        <f>$F$18</f>
        <v>255500</v>
      </c>
      <c r="L56" s="73">
        <f t="shared" si="17"/>
        <v>1773.17</v>
      </c>
      <c r="M56" s="27"/>
      <c r="N56" s="30">
        <f t="shared" si="15"/>
        <v>0</v>
      </c>
      <c r="O56" s="74">
        <f t="shared" si="10"/>
        <v>0</v>
      </c>
      <c r="Q56" s="107"/>
      <c r="S56" s="107"/>
      <c r="U56" s="107"/>
      <c r="W56" s="107"/>
    </row>
    <row r="57" spans="2:23" x14ac:dyDescent="0.2">
      <c r="B57" s="49" t="s">
        <v>37</v>
      </c>
      <c r="C57" s="21"/>
      <c r="D57" s="22"/>
      <c r="E57" s="23"/>
      <c r="F57" s="72">
        <f>'&gt;50 (100)'!F57</f>
        <v>8.6999999999999994E-2</v>
      </c>
      <c r="G57" s="77">
        <f>0.65*$F$18</f>
        <v>166075</v>
      </c>
      <c r="H57" s="73">
        <f t="shared" si="16"/>
        <v>14448.525</v>
      </c>
      <c r="I57" s="27"/>
      <c r="J57" s="72">
        <f>F57</f>
        <v>8.6999999999999994E-2</v>
      </c>
      <c r="K57" s="77">
        <f>$G$57</f>
        <v>166075</v>
      </c>
      <c r="L57" s="73">
        <f t="shared" si="17"/>
        <v>14448.525</v>
      </c>
      <c r="M57" s="27"/>
      <c r="N57" s="30">
        <f t="shared" si="15"/>
        <v>0</v>
      </c>
      <c r="O57" s="74">
        <f t="shared" si="10"/>
        <v>0</v>
      </c>
      <c r="Q57" s="107"/>
      <c r="S57" s="107"/>
      <c r="U57" s="107"/>
      <c r="W57" s="107"/>
    </row>
    <row r="58" spans="2:23" x14ac:dyDescent="0.2">
      <c r="B58" s="49" t="s">
        <v>38</v>
      </c>
      <c r="C58" s="21"/>
      <c r="D58" s="22"/>
      <c r="E58" s="23"/>
      <c r="F58" s="72">
        <f>'&gt;50 (100)'!F58</f>
        <v>0.13200000000000001</v>
      </c>
      <c r="G58" s="77">
        <f>0.17*$F$18</f>
        <v>43435</v>
      </c>
      <c r="H58" s="73">
        <f t="shared" si="16"/>
        <v>5733.42</v>
      </c>
      <c r="I58" s="27"/>
      <c r="J58" s="72">
        <f>F58</f>
        <v>0.13200000000000001</v>
      </c>
      <c r="K58" s="77">
        <f>$G$58</f>
        <v>43435</v>
      </c>
      <c r="L58" s="73">
        <f t="shared" si="17"/>
        <v>5733.42</v>
      </c>
      <c r="M58" s="27"/>
      <c r="N58" s="30">
        <f t="shared" si="15"/>
        <v>0</v>
      </c>
      <c r="O58" s="74">
        <f t="shared" si="10"/>
        <v>0</v>
      </c>
      <c r="Q58" s="107"/>
      <c r="S58" s="107"/>
      <c r="U58" s="107"/>
      <c r="W58" s="107"/>
    </row>
    <row r="59" spans="2:23" x14ac:dyDescent="0.2">
      <c r="B59" s="11" t="s">
        <v>39</v>
      </c>
      <c r="C59" s="21"/>
      <c r="D59" s="22"/>
      <c r="E59" s="23"/>
      <c r="F59" s="72">
        <f>'&gt;50 (100)'!F59</f>
        <v>0.18</v>
      </c>
      <c r="G59" s="77">
        <f>0.18*$F$18</f>
        <v>45990</v>
      </c>
      <c r="H59" s="73">
        <f t="shared" si="16"/>
        <v>8278.1999999999989</v>
      </c>
      <c r="I59" s="27"/>
      <c r="J59" s="72">
        <f>F59</f>
        <v>0.18</v>
      </c>
      <c r="K59" s="77">
        <f>$G$59</f>
        <v>45990</v>
      </c>
      <c r="L59" s="73">
        <f t="shared" si="17"/>
        <v>8278.1999999999989</v>
      </c>
      <c r="M59" s="27"/>
      <c r="N59" s="30">
        <f t="shared" si="15"/>
        <v>0</v>
      </c>
      <c r="O59" s="74">
        <f t="shared" si="10"/>
        <v>0</v>
      </c>
      <c r="Q59" s="107"/>
      <c r="S59" s="107"/>
      <c r="U59" s="107"/>
      <c r="W59" s="107"/>
    </row>
    <row r="60" spans="2:23" s="85" customFormat="1" x14ac:dyDescent="0.2">
      <c r="B60" s="78" t="s">
        <v>40</v>
      </c>
      <c r="C60" s="79"/>
      <c r="D60" s="80"/>
      <c r="E60" s="81"/>
      <c r="F60" s="72">
        <f>'&gt;50 (100)'!F60</f>
        <v>0.10299999999999999</v>
      </c>
      <c r="G60" s="82">
        <v>750</v>
      </c>
      <c r="H60" s="73">
        <f>G60*F60</f>
        <v>77.25</v>
      </c>
      <c r="I60" s="83"/>
      <c r="J60" s="72">
        <f>F60</f>
        <v>0.10299999999999999</v>
      </c>
      <c r="K60" s="82">
        <f>$G$60</f>
        <v>750</v>
      </c>
      <c r="L60" s="73">
        <f>K60*J60</f>
        <v>77.25</v>
      </c>
      <c r="M60" s="83"/>
      <c r="N60" s="84">
        <f t="shared" si="15"/>
        <v>0</v>
      </c>
      <c r="O60" s="74">
        <f t="shared" si="10"/>
        <v>0</v>
      </c>
      <c r="Q60" s="143"/>
      <c r="R60" s="212"/>
      <c r="S60" s="143"/>
      <c r="T60" s="212"/>
      <c r="U60" s="143"/>
      <c r="V60" s="212"/>
      <c r="W60" s="143"/>
    </row>
    <row r="61" spans="2:23" s="85" customFormat="1" ht="13.5" thickBot="1" x14ac:dyDescent="0.25">
      <c r="B61" s="78" t="s">
        <v>41</v>
      </c>
      <c r="C61" s="79"/>
      <c r="D61" s="80"/>
      <c r="E61" s="81"/>
      <c r="F61" s="72">
        <f>'&gt;50 (100)'!F61</f>
        <v>0.121</v>
      </c>
      <c r="G61" s="82">
        <f>F18-G60</f>
        <v>254750</v>
      </c>
      <c r="H61" s="73">
        <f>G61*F61</f>
        <v>30824.75</v>
      </c>
      <c r="I61" s="83"/>
      <c r="J61" s="72">
        <f>F61</f>
        <v>0.121</v>
      </c>
      <c r="K61" s="82">
        <f>$G$61</f>
        <v>254750</v>
      </c>
      <c r="L61" s="73">
        <f>K61*J61</f>
        <v>30824.75</v>
      </c>
      <c r="M61" s="83"/>
      <c r="N61" s="84">
        <f t="shared" si="15"/>
        <v>0</v>
      </c>
      <c r="O61" s="74">
        <f t="shared" si="10"/>
        <v>0</v>
      </c>
      <c r="Q61" s="143"/>
      <c r="R61" s="212"/>
      <c r="S61" s="143"/>
      <c r="T61" s="212"/>
      <c r="U61" s="143"/>
      <c r="V61" s="212"/>
      <c r="W61" s="143"/>
    </row>
    <row r="62" spans="2:23" ht="8.25" customHeight="1" thickBot="1" x14ac:dyDescent="0.25">
      <c r="B62" s="86"/>
      <c r="C62" s="87"/>
      <c r="D62" s="88"/>
      <c r="E62" s="87"/>
      <c r="F62" s="89"/>
      <c r="G62" s="90"/>
      <c r="H62" s="91"/>
      <c r="I62" s="92"/>
      <c r="J62" s="89"/>
      <c r="K62" s="93"/>
      <c r="L62" s="91"/>
      <c r="M62" s="92"/>
      <c r="N62" s="94"/>
      <c r="O62" s="95"/>
      <c r="Q62" s="107"/>
      <c r="S62" s="107"/>
      <c r="U62" s="107"/>
      <c r="W62" s="107"/>
    </row>
    <row r="63" spans="2:23" x14ac:dyDescent="0.2">
      <c r="B63" s="96" t="s">
        <v>42</v>
      </c>
      <c r="C63" s="21"/>
      <c r="D63" s="21"/>
      <c r="E63" s="21"/>
      <c r="F63" s="97"/>
      <c r="G63" s="98"/>
      <c r="H63" s="99">
        <f>SUM(H52:H59,H51)</f>
        <v>41376.589357499994</v>
      </c>
      <c r="I63" s="100"/>
      <c r="J63" s="101"/>
      <c r="K63" s="101"/>
      <c r="L63" s="99">
        <f>SUM(L52:L59,L51)</f>
        <v>40511.290357499995</v>
      </c>
      <c r="M63" s="102"/>
      <c r="N63" s="103">
        <f t="shared" ref="N63" si="18">L63-H63</f>
        <v>-865.29899999999907</v>
      </c>
      <c r="O63" s="104">
        <f t="shared" ref="O63" si="19">IF((H63)=0,"",(N63/H63))</f>
        <v>-2.091276766491517E-2</v>
      </c>
      <c r="Q63" s="102"/>
      <c r="S63" s="102"/>
      <c r="U63" s="102"/>
      <c r="W63" s="102"/>
    </row>
    <row r="64" spans="2:23" x14ac:dyDescent="0.2">
      <c r="B64" s="105" t="s">
        <v>43</v>
      </c>
      <c r="C64" s="21"/>
      <c r="D64" s="21"/>
      <c r="E64" s="21"/>
      <c r="F64" s="106">
        <v>0.13</v>
      </c>
      <c r="G64" s="107"/>
      <c r="H64" s="108">
        <f>H63*F64</f>
        <v>5378.9566164749995</v>
      </c>
      <c r="I64" s="109"/>
      <c r="J64" s="110">
        <v>0.13</v>
      </c>
      <c r="K64" s="109"/>
      <c r="L64" s="111">
        <f>L63*J64</f>
        <v>5266.4677464749993</v>
      </c>
      <c r="M64" s="112"/>
      <c r="N64" s="113">
        <f t="shared" si="15"/>
        <v>-112.48887000000013</v>
      </c>
      <c r="O64" s="114">
        <f t="shared" si="10"/>
        <v>-2.0912767664915219E-2</v>
      </c>
      <c r="Q64" s="112"/>
      <c r="S64" s="112"/>
      <c r="U64" s="112"/>
      <c r="W64" s="112"/>
    </row>
    <row r="65" spans="1:23" ht="13.5" thickBot="1" x14ac:dyDescent="0.25">
      <c r="B65" s="115" t="s">
        <v>44</v>
      </c>
      <c r="C65" s="21"/>
      <c r="D65" s="21"/>
      <c r="E65" s="21"/>
      <c r="F65" s="116"/>
      <c r="G65" s="107"/>
      <c r="H65" s="99">
        <f>H63+H64</f>
        <v>46755.545973974993</v>
      </c>
      <c r="I65" s="109"/>
      <c r="J65" s="109"/>
      <c r="K65" s="109"/>
      <c r="L65" s="220">
        <f>L63+L64</f>
        <v>45777.758103974993</v>
      </c>
      <c r="M65" s="112"/>
      <c r="N65" s="103">
        <f t="shared" si="15"/>
        <v>-977.78787000000011</v>
      </c>
      <c r="O65" s="104">
        <f t="shared" si="10"/>
        <v>-2.0912767664915195E-2</v>
      </c>
      <c r="Q65" s="112"/>
      <c r="S65" s="112"/>
      <c r="U65" s="112"/>
      <c r="W65" s="112"/>
    </row>
    <row r="66" spans="1:23" s="85" customFormat="1" ht="8.25" customHeight="1" thickBot="1" x14ac:dyDescent="0.25">
      <c r="B66" s="117"/>
      <c r="C66" s="118"/>
      <c r="D66" s="119"/>
      <c r="E66" s="118"/>
      <c r="F66" s="89"/>
      <c r="G66" s="120"/>
      <c r="H66" s="91"/>
      <c r="I66" s="121"/>
      <c r="J66" s="89"/>
      <c r="K66" s="122"/>
      <c r="L66" s="91"/>
      <c r="M66" s="121"/>
      <c r="N66" s="123"/>
      <c r="O66" s="95"/>
      <c r="Q66" s="143"/>
      <c r="R66" s="212"/>
      <c r="S66" s="143"/>
      <c r="T66" s="212"/>
      <c r="U66" s="143"/>
      <c r="V66" s="212"/>
      <c r="W66" s="143"/>
    </row>
    <row r="67" spans="1:23" s="85" customFormat="1" x14ac:dyDescent="0.2">
      <c r="B67" s="124" t="s">
        <v>45</v>
      </c>
      <c r="C67" s="79"/>
      <c r="D67" s="79"/>
      <c r="E67" s="79"/>
      <c r="F67" s="125"/>
      <c r="G67" s="126"/>
      <c r="H67" s="127">
        <f>SUM(H60:H61,H51,H52:H56)</f>
        <v>43818.444357499997</v>
      </c>
      <c r="I67" s="128"/>
      <c r="J67" s="129"/>
      <c r="K67" s="129"/>
      <c r="L67" s="127">
        <f>SUM(L60:L61,L51,L52:L56)</f>
        <v>42953.145357499998</v>
      </c>
      <c r="M67" s="130"/>
      <c r="N67" s="131">
        <f t="shared" ref="N67:N69" si="20">L67-H67</f>
        <v>-865.29899999999907</v>
      </c>
      <c r="O67" s="104">
        <f t="shared" ref="O67:O69" si="21">IF((H67)=0,"",(N67/H67))</f>
        <v>-1.9747369234295827E-2</v>
      </c>
      <c r="Q67" s="130"/>
      <c r="R67" s="212"/>
      <c r="S67" s="130"/>
      <c r="T67" s="212"/>
      <c r="U67" s="130"/>
      <c r="V67" s="212"/>
      <c r="W67" s="130"/>
    </row>
    <row r="68" spans="1:23" s="85" customFormat="1" x14ac:dyDescent="0.2">
      <c r="B68" s="132" t="s">
        <v>43</v>
      </c>
      <c r="C68" s="79"/>
      <c r="D68" s="79"/>
      <c r="E68" s="79"/>
      <c r="F68" s="133">
        <v>0.13</v>
      </c>
      <c r="G68" s="126"/>
      <c r="H68" s="134">
        <f>H67*F68</f>
        <v>5696.397766475</v>
      </c>
      <c r="I68" s="135"/>
      <c r="J68" s="136">
        <v>0.13</v>
      </c>
      <c r="K68" s="137"/>
      <c r="L68" s="138">
        <f>L67*J68</f>
        <v>5583.9088964749999</v>
      </c>
      <c r="M68" s="139"/>
      <c r="N68" s="140">
        <f t="shared" si="20"/>
        <v>-112.48887000000013</v>
      </c>
      <c r="O68" s="114">
        <f t="shared" si="21"/>
        <v>-1.9747369234295872E-2</v>
      </c>
      <c r="Q68" s="139"/>
      <c r="R68" s="212"/>
      <c r="S68" s="139"/>
      <c r="T68" s="212"/>
      <c r="U68" s="139"/>
      <c r="V68" s="212"/>
      <c r="W68" s="139"/>
    </row>
    <row r="69" spans="1:23" s="85" customFormat="1" ht="13.5" thickBot="1" x14ac:dyDescent="0.25">
      <c r="B69" s="141" t="s">
        <v>44</v>
      </c>
      <c r="C69" s="79"/>
      <c r="D69" s="79"/>
      <c r="E69" s="79"/>
      <c r="F69" s="142"/>
      <c r="G69" s="143"/>
      <c r="H69" s="127">
        <f>H67+H68</f>
        <v>49514.842123974995</v>
      </c>
      <c r="I69" s="135"/>
      <c r="J69" s="135"/>
      <c r="K69" s="135"/>
      <c r="L69" s="219">
        <f>L67+L68</f>
        <v>48537.054253974995</v>
      </c>
      <c r="M69" s="139"/>
      <c r="N69" s="131">
        <f t="shared" si="20"/>
        <v>-977.78787000000011</v>
      </c>
      <c r="O69" s="104">
        <f t="shared" si="21"/>
        <v>-1.9747369234295851E-2</v>
      </c>
      <c r="Q69" s="139"/>
      <c r="R69" s="212"/>
      <c r="S69" s="139"/>
      <c r="T69" s="212"/>
      <c r="U69" s="139"/>
      <c r="V69" s="212"/>
      <c r="W69" s="139"/>
    </row>
    <row r="70" spans="1:23" s="85" customFormat="1" ht="8.25" customHeight="1" thickBot="1" x14ac:dyDescent="0.25">
      <c r="B70" s="117"/>
      <c r="C70" s="118"/>
      <c r="D70" s="119"/>
      <c r="E70" s="118"/>
      <c r="F70" s="144"/>
      <c r="G70" s="145"/>
      <c r="H70" s="146"/>
      <c r="I70" s="147"/>
      <c r="J70" s="144"/>
      <c r="K70" s="120"/>
      <c r="L70" s="148"/>
      <c r="M70" s="121"/>
      <c r="N70" s="149"/>
      <c r="O70" s="95"/>
      <c r="Q70" s="143"/>
      <c r="R70" s="212"/>
      <c r="S70" s="143"/>
      <c r="T70" s="212"/>
      <c r="U70" s="143"/>
      <c r="V70" s="212"/>
      <c r="W70" s="143"/>
    </row>
    <row r="71" spans="1:23" x14ac:dyDescent="0.2">
      <c r="L71" s="150"/>
    </row>
    <row r="72" spans="1:23" x14ac:dyDescent="0.2">
      <c r="B72" s="12" t="s">
        <v>46</v>
      </c>
      <c r="F72" s="151">
        <f>'&gt;50 (100)'!F72</f>
        <v>3.3500000000000002E-2</v>
      </c>
      <c r="J72" s="151">
        <f>+'Res (100)'!J70</f>
        <v>3.3500000000000002E-2</v>
      </c>
    </row>
    <row r="74" spans="1:23" ht="13.5" customHeight="1" x14ac:dyDescent="0.2">
      <c r="Q74" s="210"/>
      <c r="R74" s="210"/>
      <c r="S74" s="6"/>
      <c r="T74" s="6"/>
      <c r="U74" s="6"/>
      <c r="V74" s="6"/>
      <c r="W74" s="6"/>
    </row>
    <row r="75" spans="1:23" ht="12" customHeight="1" x14ac:dyDescent="0.2">
      <c r="A75" s="6" t="s">
        <v>47</v>
      </c>
      <c r="Q75" s="210"/>
      <c r="R75" s="210"/>
      <c r="S75" s="6"/>
      <c r="T75" s="6"/>
      <c r="U75" s="6"/>
      <c r="V75" s="6"/>
      <c r="W75" s="6"/>
    </row>
    <row r="76" spans="1:23" x14ac:dyDescent="0.2">
      <c r="A76" s="6" t="s">
        <v>48</v>
      </c>
      <c r="Q76" s="210"/>
      <c r="R76" s="210"/>
      <c r="S76" s="6"/>
      <c r="T76" s="6"/>
      <c r="U76" s="6"/>
      <c r="V76" s="6"/>
      <c r="W76" s="6"/>
    </row>
    <row r="77" spans="1:23" x14ac:dyDescent="0.2">
      <c r="Q77" s="210"/>
      <c r="R77" s="210"/>
      <c r="S77" s="6"/>
      <c r="T77" s="6"/>
      <c r="U77" s="6"/>
      <c r="V77" s="6"/>
      <c r="W77" s="6"/>
    </row>
    <row r="78" spans="1:23" x14ac:dyDescent="0.2">
      <c r="A78" s="153" t="s">
        <v>136</v>
      </c>
      <c r="Q78" s="210"/>
      <c r="R78" s="210"/>
      <c r="S78" s="6"/>
      <c r="T78" s="6"/>
      <c r="U78" s="6"/>
      <c r="V78" s="6"/>
      <c r="W78" s="6"/>
    </row>
    <row r="79" spans="1:23" x14ac:dyDescent="0.2">
      <c r="A79" s="11" t="s">
        <v>49</v>
      </c>
      <c r="Q79" s="210"/>
      <c r="R79" s="210"/>
      <c r="S79" s="6"/>
      <c r="T79" s="6"/>
      <c r="U79" s="6"/>
      <c r="V79" s="6"/>
      <c r="W79" s="6"/>
    </row>
    <row r="80" spans="1:23" x14ac:dyDescent="0.2">
      <c r="Q80" s="210"/>
      <c r="R80" s="210"/>
      <c r="S80" s="6"/>
      <c r="T80" s="6"/>
      <c r="U80" s="6"/>
      <c r="V80" s="6"/>
      <c r="W80" s="6"/>
    </row>
    <row r="81" spans="1:23" x14ac:dyDescent="0.2">
      <c r="A81" s="6" t="s">
        <v>135</v>
      </c>
      <c r="Q81" s="210"/>
      <c r="R81" s="210"/>
      <c r="S81" s="6"/>
      <c r="T81" s="6"/>
      <c r="U81" s="6"/>
      <c r="V81" s="6"/>
      <c r="W81" s="6"/>
    </row>
    <row r="82" spans="1:23" x14ac:dyDescent="0.2">
      <c r="A82" s="6" t="s">
        <v>50</v>
      </c>
      <c r="Q82" s="210"/>
      <c r="R82" s="210"/>
      <c r="S82" s="6"/>
      <c r="T82" s="6"/>
      <c r="U82" s="6"/>
      <c r="V82" s="6"/>
      <c r="W82" s="6"/>
    </row>
    <row r="83" spans="1:23" x14ac:dyDescent="0.2">
      <c r="A83" s="6" t="s">
        <v>51</v>
      </c>
      <c r="Q83" s="210"/>
      <c r="R83" s="210"/>
      <c r="S83" s="6"/>
      <c r="T83" s="6"/>
      <c r="U83" s="6"/>
      <c r="V83" s="6"/>
      <c r="W83" s="6"/>
    </row>
    <row r="84" spans="1:23" x14ac:dyDescent="0.2">
      <c r="A84" s="6" t="s">
        <v>52</v>
      </c>
      <c r="Q84" s="210"/>
      <c r="R84" s="210"/>
      <c r="S84" s="6"/>
      <c r="T84" s="6"/>
      <c r="U84" s="6"/>
      <c r="V84" s="6"/>
      <c r="W84" s="6"/>
    </row>
    <row r="85" spans="1:23" x14ac:dyDescent="0.2">
      <c r="A85" s="6" t="s">
        <v>53</v>
      </c>
      <c r="Q85" s="210"/>
      <c r="R85" s="210"/>
      <c r="S85" s="6"/>
      <c r="T85" s="6"/>
      <c r="U85" s="6"/>
      <c r="V85" s="6"/>
      <c r="W85" s="6"/>
    </row>
    <row r="86" spans="1:23" x14ac:dyDescent="0.2">
      <c r="Q86" s="210"/>
      <c r="R86" s="210"/>
      <c r="S86" s="6"/>
      <c r="T86" s="6"/>
      <c r="U86" s="6"/>
      <c r="V86" s="6"/>
      <c r="W86" s="6"/>
    </row>
    <row r="87" spans="1:23" x14ac:dyDescent="0.2">
      <c r="A87" s="152"/>
      <c r="B87" s="6" t="s">
        <v>54</v>
      </c>
      <c r="Q87" s="210"/>
      <c r="R87" s="210"/>
      <c r="S87" s="6"/>
      <c r="T87" s="6"/>
      <c r="U87" s="6"/>
      <c r="V87" s="6"/>
      <c r="W87" s="6"/>
    </row>
    <row r="88" spans="1:23" x14ac:dyDescent="0.2">
      <c r="Q88" s="210"/>
      <c r="R88" s="210"/>
      <c r="S88" s="6"/>
      <c r="T88" s="6"/>
      <c r="U88" s="6"/>
      <c r="V88" s="6"/>
      <c r="W88" s="6"/>
    </row>
    <row r="89" spans="1:23" x14ac:dyDescent="0.2">
      <c r="B89" s="153" t="s">
        <v>55</v>
      </c>
      <c r="Q89" s="210"/>
      <c r="R89" s="210"/>
      <c r="S89" s="6"/>
      <c r="T89" s="6"/>
      <c r="U89" s="6"/>
      <c r="V89" s="6"/>
      <c r="W89" s="6"/>
    </row>
  </sheetData>
  <sheetProtection selectLockedCells="1"/>
  <mergeCells count="8">
    <mergeCell ref="N21:N22"/>
    <mergeCell ref="O21:O22"/>
    <mergeCell ref="A3:K3"/>
    <mergeCell ref="D14:O14"/>
    <mergeCell ref="F20:H20"/>
    <mergeCell ref="J20:L20"/>
    <mergeCell ref="N20:O20"/>
    <mergeCell ref="D21:D22"/>
  </mergeCells>
  <dataValidations count="3">
    <dataValidation type="list" allowBlank="1" showInputMessage="1" showErrorMessage="1" sqref="E49:E50 E70 E66 E52:E62 E23:E38 E40:E47">
      <formula1>#REF!</formula1>
    </dataValidation>
    <dataValidation type="list" allowBlank="1" showInputMessage="1" showErrorMessage="1" prompt="Select Charge Unit - monthly, per kWh, per kW" sqref="D70 D66 D23:D38 D52:D62 D40:D47 D49:D50">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5" fitToWidth="2"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Option Button 1">
              <controlPr defaultSize="0" autoFill="0" autoLine="0" autoPict="0">
                <anchor moveWithCells="1">
                  <from>
                    <xdr:col>6</xdr:col>
                    <xdr:colOff>466725</xdr:colOff>
                    <xdr:row>16</xdr:row>
                    <xdr:rowOff>190500</xdr:rowOff>
                  </from>
                  <to>
                    <xdr:col>9</xdr:col>
                    <xdr:colOff>219075</xdr:colOff>
                    <xdr:row>18</xdr:row>
                    <xdr:rowOff>47625</xdr:rowOff>
                  </to>
                </anchor>
              </controlPr>
            </control>
          </mc:Choice>
        </mc:AlternateContent>
        <mc:AlternateContent xmlns:mc="http://schemas.openxmlformats.org/markup-compatibility/2006">
          <mc:Choice Requires="x14">
            <control shapeId="32770" r:id="rId5" name="Option Button 2">
              <controlPr defaultSize="0" autoFill="0" autoLine="0" autoPict="0">
                <anchor moveWithCells="1">
                  <from>
                    <xdr:col>9</xdr:col>
                    <xdr:colOff>352425</xdr:colOff>
                    <xdr:row>16</xdr:row>
                    <xdr:rowOff>133350</xdr:rowOff>
                  </from>
                  <to>
                    <xdr:col>14</xdr:col>
                    <xdr:colOff>504825</xdr:colOff>
                    <xdr:row>18</xdr:row>
                    <xdr:rowOff>152400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93"/>
  <sheetViews>
    <sheetView showGridLines="0" view="pageBreakPreview" zoomScale="70" zoomScaleNormal="85" zoomScaleSheetLayoutView="70" workbookViewId="0">
      <selection activeCell="O41" sqref="O4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3.7109375" style="6" customWidth="1"/>
    <col min="7" max="7" width="10.7109375" style="6" bestFit="1" customWidth="1"/>
    <col min="8" max="8" width="17.7109375" style="6" bestFit="1" customWidth="1"/>
    <col min="9" max="9" width="2.85546875" style="6" customWidth="1"/>
    <col min="10" max="10" width="12.140625" style="6" customWidth="1"/>
    <col min="11" max="11" width="10.42578125" style="6" customWidth="1"/>
    <col min="12" max="12" width="17" style="6" bestFit="1" customWidth="1"/>
    <col min="13" max="13" width="2.85546875" style="6" customWidth="1"/>
    <col min="14" max="14" width="14.7109375" style="6" bestFit="1" customWidth="1"/>
    <col min="15" max="15" width="11" style="6" bestFit="1" customWidth="1"/>
    <col min="16" max="16" width="3.85546875" style="6" customWidth="1"/>
    <col min="17" max="17" width="2.85546875" style="211" customWidth="1"/>
    <col min="18" max="18" width="4.5703125" style="211" customWidth="1"/>
    <col min="19" max="19" width="2.85546875" style="211" customWidth="1"/>
    <col min="20" max="20" width="4.5703125" style="211" customWidth="1"/>
    <col min="21" max="21" width="2.85546875" style="211" customWidth="1"/>
    <col min="22" max="22" width="4.5703125" style="211" customWidth="1"/>
    <col min="23" max="23" width="2.85546875" style="21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61</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1277500</v>
      </c>
      <c r="G18" s="12" t="s">
        <v>6</v>
      </c>
    </row>
    <row r="19" spans="2:23" x14ac:dyDescent="0.2">
      <c r="B19" s="11"/>
      <c r="F19" s="13">
        <v>2500</v>
      </c>
      <c r="G19" s="6" t="s">
        <v>58</v>
      </c>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156">
        <f>'Proposed Rates'!D10</f>
        <v>4193.93</v>
      </c>
      <c r="G23" s="25">
        <v>1</v>
      </c>
      <c r="H23" s="26">
        <f>G23*F23</f>
        <v>4193.93</v>
      </c>
      <c r="I23" s="27"/>
      <c r="J23" s="157">
        <f>+'Proposed Rates'!E10</f>
        <v>4193.93</v>
      </c>
      <c r="K23" s="29">
        <v>1</v>
      </c>
      <c r="L23" s="26">
        <f>K23*J23</f>
        <v>4193.93</v>
      </c>
      <c r="M23" s="27"/>
      <c r="N23" s="30">
        <f>L23-H23</f>
        <v>0</v>
      </c>
      <c r="O23" s="31">
        <f>IF((H23)=0,"",(N23/H23))</f>
        <v>0</v>
      </c>
      <c r="Q23" s="107"/>
      <c r="S23" s="107"/>
      <c r="U23" s="107"/>
      <c r="W23" s="107"/>
    </row>
    <row r="24" spans="2:23" x14ac:dyDescent="0.2">
      <c r="B24" s="21" t="s">
        <v>19</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
      <c r="B29" s="21" t="s">
        <v>20</v>
      </c>
      <c r="C29" s="21"/>
      <c r="D29" s="22" t="s">
        <v>59</v>
      </c>
      <c r="E29" s="23"/>
      <c r="F29" s="24">
        <f>'Proposed Rates'!D23</f>
        <v>3.6541000000000001</v>
      </c>
      <c r="G29" s="51">
        <f>+$F$19</f>
        <v>2500</v>
      </c>
      <c r="H29" s="26">
        <f t="shared" si="0"/>
        <v>9135.25</v>
      </c>
      <c r="I29" s="27"/>
      <c r="J29" s="28">
        <f>+'Proposed Rates'!E23</f>
        <v>3.9180999999999999</v>
      </c>
      <c r="K29" s="51">
        <f>+$F$19</f>
        <v>2500</v>
      </c>
      <c r="L29" s="26">
        <f t="shared" si="1"/>
        <v>9795.25</v>
      </c>
      <c r="M29" s="27"/>
      <c r="N29" s="30">
        <f t="shared" si="2"/>
        <v>660</v>
      </c>
      <c r="O29" s="31">
        <f t="shared" si="3"/>
        <v>7.2247612271147482E-2</v>
      </c>
      <c r="Q29" s="107"/>
      <c r="S29" s="107"/>
      <c r="U29" s="107"/>
      <c r="W29" s="107"/>
    </row>
    <row r="30" spans="2:23" x14ac:dyDescent="0.2">
      <c r="B30" s="21" t="s">
        <v>22</v>
      </c>
      <c r="C30" s="21"/>
      <c r="D30" s="22"/>
      <c r="E30" s="23"/>
      <c r="F30" s="24"/>
      <c r="G30" s="25">
        <f t="shared" ref="G30" si="4">$F$18</f>
        <v>1277500</v>
      </c>
      <c r="H30" s="26">
        <f t="shared" si="0"/>
        <v>0</v>
      </c>
      <c r="I30" s="27"/>
      <c r="J30" s="28"/>
      <c r="K30" s="25">
        <f t="shared" ref="K30:K38" si="5">$F$18</f>
        <v>1277500</v>
      </c>
      <c r="L30" s="26">
        <f t="shared" si="1"/>
        <v>0</v>
      </c>
      <c r="M30" s="27"/>
      <c r="N30" s="30">
        <f t="shared" si="2"/>
        <v>0</v>
      </c>
      <c r="O30" s="31" t="str">
        <f t="shared" si="3"/>
        <v/>
      </c>
      <c r="Q30" s="107"/>
      <c r="S30" s="107"/>
      <c r="U30" s="107"/>
      <c r="W30" s="107"/>
    </row>
    <row r="31" spans="2:23" x14ac:dyDescent="0.2">
      <c r="B31" s="21" t="s">
        <v>23</v>
      </c>
      <c r="C31" s="21"/>
      <c r="D31" s="22" t="s">
        <v>59</v>
      </c>
      <c r="E31" s="23"/>
      <c r="F31" s="24">
        <f>'Proposed Rates'!D70</f>
        <v>-7.7109999999999998E-2</v>
      </c>
      <c r="G31" s="51">
        <f>+$F$19</f>
        <v>2500</v>
      </c>
      <c r="H31" s="26">
        <f t="shared" si="0"/>
        <v>-192.77500000000001</v>
      </c>
      <c r="I31" s="27"/>
      <c r="J31" s="28">
        <f>+'Proposed Rates'!E70</f>
        <v>0</v>
      </c>
      <c r="K31" s="51">
        <f>+$F$19</f>
        <v>2500</v>
      </c>
      <c r="L31" s="26">
        <f t="shared" si="1"/>
        <v>0</v>
      </c>
      <c r="M31" s="27"/>
      <c r="N31" s="30">
        <f t="shared" si="2"/>
        <v>192.77500000000001</v>
      </c>
      <c r="O31" s="31">
        <f t="shared" si="3"/>
        <v>-1</v>
      </c>
      <c r="Q31" s="107"/>
      <c r="S31" s="107"/>
      <c r="U31" s="107"/>
      <c r="W31" s="107"/>
    </row>
    <row r="32" spans="2:23" x14ac:dyDescent="0.2">
      <c r="B32" s="33"/>
      <c r="C32" s="21"/>
      <c r="D32" s="22"/>
      <c r="E32" s="23"/>
      <c r="F32" s="24"/>
      <c r="G32" s="25">
        <f t="shared" ref="G32:G38" si="6">$F$18</f>
        <v>1277500</v>
      </c>
      <c r="H32" s="26">
        <f t="shared" si="0"/>
        <v>0</v>
      </c>
      <c r="I32" s="27"/>
      <c r="J32" s="28"/>
      <c r="K32" s="25">
        <f t="shared" si="5"/>
        <v>1277500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1277500</v>
      </c>
      <c r="H33" s="26">
        <f t="shared" si="0"/>
        <v>0</v>
      </c>
      <c r="I33" s="27"/>
      <c r="J33" s="28"/>
      <c r="K33" s="25">
        <f t="shared" si="5"/>
        <v>1277500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1277500</v>
      </c>
      <c r="H34" s="26">
        <f t="shared" si="0"/>
        <v>0</v>
      </c>
      <c r="I34" s="27"/>
      <c r="J34" s="28"/>
      <c r="K34" s="25">
        <f t="shared" si="5"/>
        <v>1277500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1277500</v>
      </c>
      <c r="H35" s="26">
        <f t="shared" si="0"/>
        <v>0</v>
      </c>
      <c r="I35" s="27"/>
      <c r="J35" s="28"/>
      <c r="K35" s="25">
        <f t="shared" si="5"/>
        <v>1277500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1277500</v>
      </c>
      <c r="H36" s="26">
        <f t="shared" si="0"/>
        <v>0</v>
      </c>
      <c r="I36" s="27"/>
      <c r="J36" s="28"/>
      <c r="K36" s="25">
        <f t="shared" si="5"/>
        <v>1277500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1277500</v>
      </c>
      <c r="H37" s="26">
        <f t="shared" si="0"/>
        <v>0</v>
      </c>
      <c r="I37" s="27"/>
      <c r="J37" s="28"/>
      <c r="K37" s="25">
        <f t="shared" si="5"/>
        <v>1277500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1277500</v>
      </c>
      <c r="H38" s="26">
        <f t="shared" si="0"/>
        <v>0</v>
      </c>
      <c r="I38" s="27"/>
      <c r="J38" s="28"/>
      <c r="K38" s="25">
        <f t="shared" si="5"/>
        <v>1277500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13136.405000000001</v>
      </c>
      <c r="I39" s="40"/>
      <c r="J39" s="41"/>
      <c r="K39" s="42"/>
      <c r="L39" s="39">
        <f>SUM(L23:L38)</f>
        <v>13989.18</v>
      </c>
      <c r="M39" s="40"/>
      <c r="N39" s="43">
        <f t="shared" si="2"/>
        <v>852.77499999999964</v>
      </c>
      <c r="O39" s="44">
        <f t="shared" si="3"/>
        <v>6.491692361799134E-2</v>
      </c>
      <c r="Q39" s="107"/>
      <c r="R39" s="211"/>
      <c r="S39" s="107"/>
      <c r="T39" s="211"/>
      <c r="U39" s="107"/>
      <c r="V39" s="211"/>
      <c r="W39" s="107"/>
    </row>
    <row r="40" spans="2:23" ht="38.25" x14ac:dyDescent="0.2">
      <c r="B40" s="46" t="str">
        <f>+'&gt;50 (100)'!B40</f>
        <v>Deferral/Variance Account Disposition Rate Rider Class 1</v>
      </c>
      <c r="C40" s="21"/>
      <c r="D40" s="22" t="str">
        <f>+'&gt;50 (100)'!D40</f>
        <v>per kW</v>
      </c>
      <c r="E40" s="23"/>
      <c r="F40" s="24">
        <f>'Proposed Rates'!D41</f>
        <v>-0.395098</v>
      </c>
      <c r="G40" s="51">
        <f>+$F$19</f>
        <v>2500</v>
      </c>
      <c r="H40" s="26">
        <f>G40*F40</f>
        <v>-987.745</v>
      </c>
      <c r="I40" s="27"/>
      <c r="J40" s="28">
        <f>+'Proposed Rates'!E41</f>
        <v>1.2999999999999999E-2</v>
      </c>
      <c r="K40" s="51">
        <f>+$F$19</f>
        <v>2500</v>
      </c>
      <c r="L40" s="26">
        <f>K40*J40</f>
        <v>32.5</v>
      </c>
      <c r="M40" s="27"/>
      <c r="N40" s="30">
        <f>L40-H40</f>
        <v>1020.245</v>
      </c>
      <c r="O40" s="31">
        <f>IF((H40)=0,"",(N40/H40))</f>
        <v>-1.0329032290722808</v>
      </c>
      <c r="Q40" s="107"/>
      <c r="S40" s="107"/>
      <c r="U40" s="107"/>
      <c r="W40" s="107"/>
    </row>
    <row r="41" spans="2:23" ht="38.25" x14ac:dyDescent="0.2">
      <c r="B41" s="46" t="str">
        <f>+'&gt;50 (100)'!B41</f>
        <v>Deferral/Variance Account Disposition Rate Rider Class 2</v>
      </c>
      <c r="C41" s="21"/>
      <c r="D41" s="22" t="str">
        <f>+'&gt;50 (100)'!D41</f>
        <v>per kW</v>
      </c>
      <c r="E41" s="23"/>
      <c r="F41" s="24">
        <f>'Proposed Rates'!D55</f>
        <v>-3.4349999999999999E-2</v>
      </c>
      <c r="G41" s="51">
        <f>+F19</f>
        <v>2500</v>
      </c>
      <c r="H41" s="26">
        <f t="shared" ref="H41:H46" si="7">G41*F41</f>
        <v>-85.875</v>
      </c>
      <c r="I41" s="47"/>
      <c r="J41" s="28">
        <f>+'Proposed Rates'!E55</f>
        <v>1.43E-2</v>
      </c>
      <c r="K41" s="51">
        <f>+$F$19</f>
        <v>2500</v>
      </c>
      <c r="L41" s="26">
        <f t="shared" ref="L41:L46" si="8">K41*J41</f>
        <v>35.75</v>
      </c>
      <c r="M41" s="48"/>
      <c r="N41" s="30">
        <f t="shared" ref="N41:N46" si="9">L41-H41</f>
        <v>121.625</v>
      </c>
      <c r="O41" s="31">
        <f t="shared" ref="O41:O65" si="10">IF((H41)=0,"",(N41/H41))</f>
        <v>-1.4163027656477438</v>
      </c>
      <c r="Q41" s="107"/>
      <c r="S41" s="107"/>
      <c r="U41" s="107"/>
      <c r="W41" s="107"/>
    </row>
    <row r="42" spans="2:23" ht="38.25" x14ac:dyDescent="0.2">
      <c r="B42" s="46" t="str">
        <f>+'&gt;50 (100)'!B42</f>
        <v xml:space="preserve">Deferral/Variance Account Disposition Rate Rider -  Global Adjustment </v>
      </c>
      <c r="C42" s="21"/>
      <c r="D42" s="22" t="str">
        <f>+'&gt;50 (100)'!D42</f>
        <v>per kWh</v>
      </c>
      <c r="E42" s="23"/>
      <c r="F42" s="24">
        <f>'Proposed Rates'!D84</f>
        <v>2.81E-3</v>
      </c>
      <c r="G42" s="25">
        <f t="shared" ref="G42:G44" si="11">$F$18</f>
        <v>1277500</v>
      </c>
      <c r="H42" s="26">
        <f t="shared" si="7"/>
        <v>3589.7750000000001</v>
      </c>
      <c r="I42" s="47"/>
      <c r="J42" s="28">
        <f>+'Proposed Rates'!E84</f>
        <v>-2.0999999999999999E-3</v>
      </c>
      <c r="K42" s="25">
        <f t="shared" ref="K42" si="12">$F$18</f>
        <v>1277500</v>
      </c>
      <c r="L42" s="26">
        <f t="shared" si="8"/>
        <v>-2682.75</v>
      </c>
      <c r="M42" s="48"/>
      <c r="N42" s="30">
        <f t="shared" si="9"/>
        <v>-6272.5249999999996</v>
      </c>
      <c r="O42" s="31">
        <f t="shared" si="10"/>
        <v>-1.7473309608540923</v>
      </c>
      <c r="Q42" s="107"/>
      <c r="S42" s="107"/>
      <c r="U42" s="107"/>
      <c r="W42" s="107"/>
    </row>
    <row r="43" spans="2:23" ht="38.25" x14ac:dyDescent="0.2">
      <c r="B43" s="46" t="str">
        <f>+'&gt;50 (100)'!B43</f>
        <v>Deferral / Variance Accounts Balances (excluding Global Adj.) - NON-WMP</v>
      </c>
      <c r="C43" s="21"/>
      <c r="D43" s="22" t="s">
        <v>59</v>
      </c>
      <c r="E43" s="23"/>
      <c r="F43" s="24">
        <f>'Proposed Rates'!D100</f>
        <v>-0.70538299999999998</v>
      </c>
      <c r="G43" s="51">
        <f>$F$19</f>
        <v>2500</v>
      </c>
      <c r="H43" s="26">
        <f t="shared" si="7"/>
        <v>-1763.4575</v>
      </c>
      <c r="I43" s="47"/>
      <c r="J43" s="28">
        <f>+'Proposed Rates'!E100</f>
        <v>-1.0875999999999999</v>
      </c>
      <c r="K43" s="51">
        <f>+$F$19</f>
        <v>2500</v>
      </c>
      <c r="L43" s="26">
        <f t="shared" si="8"/>
        <v>-2718.9999999999995</v>
      </c>
      <c r="M43" s="48"/>
      <c r="N43" s="30">
        <f t="shared" si="9"/>
        <v>-955.54249999999956</v>
      </c>
      <c r="O43" s="31">
        <f>IF((H43)=0,"",(N43/H43))</f>
        <v>0.54185740229067025</v>
      </c>
      <c r="Q43" s="107"/>
      <c r="S43" s="107"/>
      <c r="U43" s="107"/>
      <c r="W43" s="107"/>
    </row>
    <row r="44" spans="2:23" ht="38.25" x14ac:dyDescent="0.2">
      <c r="B44" s="46" t="s">
        <v>128</v>
      </c>
      <c r="C44" s="21"/>
      <c r="D44" s="22" t="s">
        <v>21</v>
      </c>
      <c r="E44" s="23"/>
      <c r="F44" s="24">
        <f>+'Proposed Rates'!D114</f>
        <v>0</v>
      </c>
      <c r="G44" s="25">
        <f t="shared" si="11"/>
        <v>1277500</v>
      </c>
      <c r="H44" s="26">
        <f t="shared" si="7"/>
        <v>0</v>
      </c>
      <c r="I44" s="236"/>
      <c r="J44" s="233">
        <f>+'Proposed Rates'!E114</f>
        <v>2.7E-4</v>
      </c>
      <c r="K44" s="25">
        <f t="shared" ref="K44" si="13">$F$18</f>
        <v>1277500</v>
      </c>
      <c r="L44" s="26">
        <f t="shared" si="8"/>
        <v>344.92500000000001</v>
      </c>
      <c r="M44" s="236"/>
      <c r="N44" s="30">
        <f t="shared" si="9"/>
        <v>344.92500000000001</v>
      </c>
      <c r="O44" s="31" t="str">
        <f>IF((H44)=0,"",(N44/H44))</f>
        <v/>
      </c>
      <c r="Q44" s="107"/>
      <c r="S44" s="107"/>
      <c r="U44" s="107"/>
      <c r="W44" s="107"/>
    </row>
    <row r="45" spans="2:23" x14ac:dyDescent="0.2">
      <c r="B45" s="49" t="s">
        <v>26</v>
      </c>
      <c r="C45" s="21"/>
      <c r="D45" s="22" t="s">
        <v>59</v>
      </c>
      <c r="E45" s="23"/>
      <c r="F45" s="50">
        <f>'Proposed Rates'!D129</f>
        <v>2.7E-2</v>
      </c>
      <c r="G45" s="51">
        <f>+$F$19</f>
        <v>2500</v>
      </c>
      <c r="H45" s="26">
        <f>G45*F45</f>
        <v>67.5</v>
      </c>
      <c r="I45" s="27"/>
      <c r="J45" s="52">
        <f>'Proposed Rates'!E129</f>
        <v>2.8129999999999999E-2</v>
      </c>
      <c r="K45" s="51">
        <f>+$F$19</f>
        <v>2500</v>
      </c>
      <c r="L45" s="26">
        <f>K45*J45</f>
        <v>70.325000000000003</v>
      </c>
      <c r="M45" s="27"/>
      <c r="N45" s="30">
        <f>L45-H45</f>
        <v>2.8250000000000028</v>
      </c>
      <c r="O45" s="31">
        <f>IF((H45)=0,"",(N45/H45))</f>
        <v>4.1851851851851897E-2</v>
      </c>
      <c r="Q45" s="107"/>
      <c r="S45" s="107"/>
      <c r="U45" s="107"/>
      <c r="W45" s="107"/>
    </row>
    <row r="46" spans="2:23" x14ac:dyDescent="0.2">
      <c r="B46" s="49" t="s">
        <v>27</v>
      </c>
      <c r="C46" s="21"/>
      <c r="D46" s="22"/>
      <c r="E46" s="23"/>
      <c r="F46" s="53">
        <f>IF(ISBLANK(D16)=TRUE, 0, IF(D16="TOU", 0.65*$F$57+0.17*$F$58+0.18*$F$59, IF(AND(D16="non-TOU", G61&gt;0), F61,F60)))</f>
        <v>0.11139</v>
      </c>
      <c r="G46" s="54">
        <f>$F$18*(1+$F$72)-$F$18</f>
        <v>42796.25</v>
      </c>
      <c r="H46" s="26">
        <f t="shared" si="7"/>
        <v>4767.0742875000005</v>
      </c>
      <c r="I46" s="27"/>
      <c r="J46" s="55">
        <f>0.65*$J$57+0.17*$J$58+0.18*$J$59</f>
        <v>0.11139</v>
      </c>
      <c r="K46" s="54">
        <f>$F$18*(1+$J$72)-$F$18</f>
        <v>42796.25</v>
      </c>
      <c r="L46" s="26">
        <f t="shared" si="8"/>
        <v>4767.0742875000005</v>
      </c>
      <c r="M46" s="27"/>
      <c r="N46" s="30">
        <f t="shared" si="9"/>
        <v>0</v>
      </c>
      <c r="O46" s="31">
        <f t="shared" si="10"/>
        <v>0</v>
      </c>
      <c r="Q46" s="107"/>
      <c r="S46" s="107"/>
      <c r="U46" s="107"/>
      <c r="W46" s="107"/>
    </row>
    <row r="47" spans="2:23" x14ac:dyDescent="0.2">
      <c r="B47" s="49" t="s">
        <v>28</v>
      </c>
      <c r="C47" s="21"/>
      <c r="D47" s="22" t="s">
        <v>18</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5.5" x14ac:dyDescent="0.2">
      <c r="B48" s="56" t="s">
        <v>29</v>
      </c>
      <c r="C48" s="57"/>
      <c r="D48" s="57"/>
      <c r="E48" s="57"/>
      <c r="F48" s="58"/>
      <c r="G48" s="59"/>
      <c r="H48" s="60">
        <f>SUM(H40:H47)+H39</f>
        <v>18723.676787500001</v>
      </c>
      <c r="I48" s="40"/>
      <c r="J48" s="59"/>
      <c r="K48" s="61"/>
      <c r="L48" s="60">
        <f>SUM(L40:L47)+L39</f>
        <v>13838.0042875</v>
      </c>
      <c r="M48" s="40"/>
      <c r="N48" s="43">
        <f t="shared" ref="N48:N65" si="14">L48-H48</f>
        <v>-4885.6725000000006</v>
      </c>
      <c r="O48" s="44">
        <f t="shared" si="10"/>
        <v>-0.26093552860630953</v>
      </c>
      <c r="Q48" s="107"/>
      <c r="S48" s="107"/>
      <c r="U48" s="107"/>
      <c r="W48" s="107"/>
    </row>
    <row r="49" spans="2:23" x14ac:dyDescent="0.2">
      <c r="B49" s="27" t="s">
        <v>30</v>
      </c>
      <c r="C49" s="27"/>
      <c r="D49" s="62" t="s">
        <v>59</v>
      </c>
      <c r="E49" s="63"/>
      <c r="F49" s="28">
        <f>'Proposed Rates'!D159</f>
        <v>2.9704000000000002</v>
      </c>
      <c r="G49" s="64">
        <f>+$F$19</f>
        <v>2500</v>
      </c>
      <c r="H49" s="26">
        <f>G49*F49</f>
        <v>7426</v>
      </c>
      <c r="I49" s="27"/>
      <c r="J49" s="28">
        <f>'Proposed Rates'!E159</f>
        <v>2.9089</v>
      </c>
      <c r="K49" s="64">
        <f>+$F$19</f>
        <v>2500</v>
      </c>
      <c r="L49" s="26">
        <f>K49*J49</f>
        <v>7272.25</v>
      </c>
      <c r="M49" s="27"/>
      <c r="N49" s="30">
        <f t="shared" si="14"/>
        <v>-153.75</v>
      </c>
      <c r="O49" s="31">
        <f t="shared" si="10"/>
        <v>-2.0704282251548613E-2</v>
      </c>
      <c r="Q49" s="107"/>
      <c r="S49" s="107"/>
      <c r="U49" s="107"/>
      <c r="W49" s="107"/>
    </row>
    <row r="50" spans="2:23" ht="25.5" x14ac:dyDescent="0.2">
      <c r="B50" s="66" t="s">
        <v>31</v>
      </c>
      <c r="C50" s="27"/>
      <c r="D50" s="62" t="s">
        <v>59</v>
      </c>
      <c r="E50" s="63"/>
      <c r="F50" s="28">
        <f>'Proposed Rates'!D174</f>
        <v>1.9521999999999999</v>
      </c>
      <c r="G50" s="64">
        <f>G49</f>
        <v>2500</v>
      </c>
      <c r="H50" s="26">
        <f>G50*F50</f>
        <v>4880.5</v>
      </c>
      <c r="I50" s="27"/>
      <c r="J50" s="28">
        <f>'Proposed Rates'!E174</f>
        <v>1.9422999999999999</v>
      </c>
      <c r="K50" s="64">
        <f>K49</f>
        <v>2500</v>
      </c>
      <c r="L50" s="26">
        <f>K50*J50</f>
        <v>4855.75</v>
      </c>
      <c r="M50" s="27"/>
      <c r="N50" s="30">
        <f t="shared" si="14"/>
        <v>-24.75</v>
      </c>
      <c r="O50" s="31">
        <f t="shared" si="10"/>
        <v>-5.0712017211351299E-3</v>
      </c>
      <c r="Q50" s="107"/>
      <c r="S50" s="107"/>
      <c r="U50" s="107"/>
      <c r="W50" s="107"/>
    </row>
    <row r="51" spans="2:23" ht="25.5" x14ac:dyDescent="0.2">
      <c r="B51" s="56" t="s">
        <v>32</v>
      </c>
      <c r="C51" s="35"/>
      <c r="D51" s="35"/>
      <c r="E51" s="35"/>
      <c r="F51" s="67"/>
      <c r="G51" s="59"/>
      <c r="H51" s="60">
        <f>SUM(H48:H50)</f>
        <v>31030.176787500001</v>
      </c>
      <c r="I51" s="68"/>
      <c r="J51" s="69"/>
      <c r="K51" s="59"/>
      <c r="L51" s="60">
        <f>SUM(L48:L50)</f>
        <v>25966.0042875</v>
      </c>
      <c r="M51" s="68"/>
      <c r="N51" s="43">
        <f t="shared" si="14"/>
        <v>-5064.1725000000006</v>
      </c>
      <c r="O51" s="44">
        <f t="shared" si="10"/>
        <v>-0.16320153554652062</v>
      </c>
      <c r="Q51" s="102"/>
      <c r="S51" s="102"/>
      <c r="U51" s="102"/>
      <c r="W51" s="102"/>
    </row>
    <row r="52" spans="2:23" ht="25.5" x14ac:dyDescent="0.2">
      <c r="B52" s="71" t="s">
        <v>33</v>
      </c>
      <c r="C52" s="21"/>
      <c r="D52" s="22" t="s">
        <v>21</v>
      </c>
      <c r="E52" s="23"/>
      <c r="F52" s="72">
        <f>'Proposed Rates'!D186</f>
        <v>3.5999999999999999E-3</v>
      </c>
      <c r="G52" s="64">
        <f>+$F$18+G46</f>
        <v>1320296.25</v>
      </c>
      <c r="H52" s="73">
        <f t="shared" ref="H52:H59" si="15">G52*F52</f>
        <v>4753.0664999999999</v>
      </c>
      <c r="I52" s="27"/>
      <c r="J52" s="72">
        <f>F52</f>
        <v>3.5999999999999999E-3</v>
      </c>
      <c r="K52" s="64">
        <f>+$F$18+K46</f>
        <v>1320296.25</v>
      </c>
      <c r="L52" s="73">
        <f t="shared" ref="L52:L59" si="16">K52*J52</f>
        <v>4753.0664999999999</v>
      </c>
      <c r="M52" s="27"/>
      <c r="N52" s="30">
        <f t="shared" si="14"/>
        <v>0</v>
      </c>
      <c r="O52" s="74">
        <f t="shared" si="10"/>
        <v>0</v>
      </c>
      <c r="Q52" s="107"/>
      <c r="S52" s="107"/>
      <c r="U52" s="107"/>
      <c r="W52" s="107"/>
    </row>
    <row r="53" spans="2:23" ht="25.5" x14ac:dyDescent="0.2">
      <c r="B53" s="71" t="s">
        <v>34</v>
      </c>
      <c r="C53" s="21"/>
      <c r="D53" s="22" t="s">
        <v>21</v>
      </c>
      <c r="E53" s="23"/>
      <c r="F53" s="72">
        <f>'Proposed Rates'!D191</f>
        <v>1.2999999999999999E-3</v>
      </c>
      <c r="G53" s="64">
        <f>G52</f>
        <v>1320296.25</v>
      </c>
      <c r="H53" s="73">
        <f t="shared" si="15"/>
        <v>1716.385125</v>
      </c>
      <c r="I53" s="27"/>
      <c r="J53" s="72">
        <f>F53</f>
        <v>1.2999999999999999E-3</v>
      </c>
      <c r="K53" s="64">
        <f>K52</f>
        <v>1320296.25</v>
      </c>
      <c r="L53" s="73">
        <f t="shared" si="16"/>
        <v>1716.385125</v>
      </c>
      <c r="M53" s="27"/>
      <c r="N53" s="30">
        <f t="shared" si="14"/>
        <v>0</v>
      </c>
      <c r="O53" s="74">
        <f t="shared" si="10"/>
        <v>0</v>
      </c>
      <c r="Q53" s="107"/>
      <c r="S53" s="107"/>
      <c r="U53" s="107"/>
      <c r="W53" s="107"/>
    </row>
    <row r="54" spans="2:23" x14ac:dyDescent="0.2">
      <c r="B54" s="21" t="s">
        <v>35</v>
      </c>
      <c r="C54" s="21"/>
      <c r="D54" s="22" t="s">
        <v>18</v>
      </c>
      <c r="E54" s="23"/>
      <c r="F54" s="72">
        <f>'Proposed Rates'!D196</f>
        <v>0.25</v>
      </c>
      <c r="G54" s="25">
        <v>1</v>
      </c>
      <c r="H54" s="73">
        <f t="shared" si="15"/>
        <v>0.25</v>
      </c>
      <c r="I54" s="27"/>
      <c r="J54" s="72">
        <f>'Proposed Rates'!E196</f>
        <v>0.25</v>
      </c>
      <c r="K54" s="29">
        <v>1</v>
      </c>
      <c r="L54" s="73">
        <f t="shared" si="16"/>
        <v>0.25</v>
      </c>
      <c r="M54" s="27"/>
      <c r="N54" s="30">
        <f t="shared" si="14"/>
        <v>0</v>
      </c>
      <c r="O54" s="74">
        <f t="shared" si="10"/>
        <v>0</v>
      </c>
      <c r="Q54" s="107"/>
      <c r="S54" s="107"/>
      <c r="U54" s="107"/>
      <c r="W54" s="107"/>
    </row>
    <row r="55" spans="2:23" x14ac:dyDescent="0.2">
      <c r="B55" s="21" t="s">
        <v>122</v>
      </c>
      <c r="C55" s="21"/>
      <c r="D55" s="22"/>
      <c r="E55" s="23"/>
      <c r="F55" s="72">
        <f>'Proposed Rates'!D221</f>
        <v>1.1000000000000001E-3</v>
      </c>
      <c r="G55" s="64">
        <f>G53</f>
        <v>1320296.25</v>
      </c>
      <c r="H55" s="73">
        <f>G55*F55</f>
        <v>1452.325875</v>
      </c>
      <c r="I55" s="27"/>
      <c r="J55" s="72">
        <f>F55</f>
        <v>1.1000000000000001E-3</v>
      </c>
      <c r="K55" s="64">
        <f>K53</f>
        <v>1320296.25</v>
      </c>
      <c r="L55" s="73">
        <f>K55*J55</f>
        <v>1452.325875</v>
      </c>
      <c r="M55" s="27"/>
      <c r="N55" s="30"/>
      <c r="O55" s="74"/>
      <c r="Q55" s="107"/>
      <c r="S55" s="107"/>
      <c r="U55" s="107"/>
      <c r="W55" s="107"/>
    </row>
    <row r="56" spans="2:23" x14ac:dyDescent="0.2">
      <c r="B56" s="21" t="s">
        <v>36</v>
      </c>
      <c r="C56" s="21"/>
      <c r="D56" s="22"/>
      <c r="E56" s="23"/>
      <c r="F56" s="72">
        <f>'Proposed Rates'!D216</f>
        <v>6.94E-3</v>
      </c>
      <c r="G56" s="75">
        <f>$F$18</f>
        <v>1277500</v>
      </c>
      <c r="H56" s="73">
        <f t="shared" si="15"/>
        <v>8865.85</v>
      </c>
      <c r="I56" s="27"/>
      <c r="J56" s="72">
        <f>+F56</f>
        <v>6.94E-3</v>
      </c>
      <c r="K56" s="76">
        <f>$F$18</f>
        <v>1277500</v>
      </c>
      <c r="L56" s="73">
        <f t="shared" si="16"/>
        <v>8865.85</v>
      </c>
      <c r="M56" s="27"/>
      <c r="N56" s="30">
        <f t="shared" si="14"/>
        <v>0</v>
      </c>
      <c r="O56" s="74">
        <f t="shared" si="10"/>
        <v>0</v>
      </c>
      <c r="Q56" s="107"/>
      <c r="S56" s="107"/>
      <c r="U56" s="107"/>
      <c r="W56" s="107"/>
    </row>
    <row r="57" spans="2:23" x14ac:dyDescent="0.2">
      <c r="B57" s="49" t="s">
        <v>37</v>
      </c>
      <c r="C57" s="21"/>
      <c r="D57" s="22"/>
      <c r="E57" s="23"/>
      <c r="F57" s="72">
        <f>'Proposed Rates'!D226</f>
        <v>8.6999999999999994E-2</v>
      </c>
      <c r="G57" s="77">
        <f>0.65*$F$18</f>
        <v>830375</v>
      </c>
      <c r="H57" s="73">
        <f t="shared" si="15"/>
        <v>72242.625</v>
      </c>
      <c r="I57" s="27"/>
      <c r="J57" s="72">
        <f>F57</f>
        <v>8.6999999999999994E-2</v>
      </c>
      <c r="K57" s="77">
        <f>$G$57</f>
        <v>830375</v>
      </c>
      <c r="L57" s="73">
        <f t="shared" si="16"/>
        <v>72242.625</v>
      </c>
      <c r="M57" s="27"/>
      <c r="N57" s="30">
        <f t="shared" si="14"/>
        <v>0</v>
      </c>
      <c r="O57" s="74">
        <f t="shared" si="10"/>
        <v>0</v>
      </c>
      <c r="Q57" s="107"/>
      <c r="S57" s="107"/>
      <c r="U57" s="107"/>
      <c r="W57" s="107"/>
    </row>
    <row r="58" spans="2:23" x14ac:dyDescent="0.2">
      <c r="B58" s="49" t="s">
        <v>38</v>
      </c>
      <c r="C58" s="21"/>
      <c r="D58" s="22"/>
      <c r="E58" s="23"/>
      <c r="F58" s="72">
        <f>'Proposed Rates'!D227</f>
        <v>0.13200000000000001</v>
      </c>
      <c r="G58" s="77">
        <f>0.17*$F$18</f>
        <v>217175.00000000003</v>
      </c>
      <c r="H58" s="73">
        <f t="shared" si="15"/>
        <v>28667.100000000006</v>
      </c>
      <c r="I58" s="27"/>
      <c r="J58" s="72">
        <f>F58</f>
        <v>0.13200000000000001</v>
      </c>
      <c r="K58" s="77">
        <f>$G$58</f>
        <v>217175.00000000003</v>
      </c>
      <c r="L58" s="73">
        <f t="shared" si="16"/>
        <v>28667.100000000006</v>
      </c>
      <c r="M58" s="27"/>
      <c r="N58" s="30">
        <f t="shared" si="14"/>
        <v>0</v>
      </c>
      <c r="O58" s="74">
        <f t="shared" si="10"/>
        <v>0</v>
      </c>
      <c r="Q58" s="107"/>
      <c r="S58" s="107"/>
      <c r="U58" s="107"/>
      <c r="W58" s="107"/>
    </row>
    <row r="59" spans="2:23" x14ac:dyDescent="0.2">
      <c r="B59" s="11" t="s">
        <v>39</v>
      </c>
      <c r="C59" s="21"/>
      <c r="D59" s="22"/>
      <c r="E59" s="23"/>
      <c r="F59" s="72">
        <f>'Proposed Rates'!D228</f>
        <v>0.18</v>
      </c>
      <c r="G59" s="77">
        <f>0.18*$F$18</f>
        <v>229950</v>
      </c>
      <c r="H59" s="73">
        <f t="shared" si="15"/>
        <v>41391</v>
      </c>
      <c r="I59" s="27"/>
      <c r="J59" s="72">
        <f>F59</f>
        <v>0.18</v>
      </c>
      <c r="K59" s="77">
        <f>$G$59</f>
        <v>229950</v>
      </c>
      <c r="L59" s="73">
        <f t="shared" si="16"/>
        <v>41391</v>
      </c>
      <c r="M59" s="27"/>
      <c r="N59" s="30">
        <f t="shared" si="14"/>
        <v>0</v>
      </c>
      <c r="O59" s="74">
        <f t="shared" si="10"/>
        <v>0</v>
      </c>
      <c r="Q59" s="107"/>
      <c r="S59" s="107"/>
      <c r="U59" s="107"/>
      <c r="W59" s="107"/>
    </row>
    <row r="60" spans="2:23" s="85" customFormat="1" x14ac:dyDescent="0.2">
      <c r="B60" s="78" t="s">
        <v>40</v>
      </c>
      <c r="C60" s="79"/>
      <c r="D60" s="80"/>
      <c r="E60" s="81"/>
      <c r="F60" s="72">
        <f>'Proposed Rates'!D229</f>
        <v>0.10299999999999999</v>
      </c>
      <c r="G60" s="82">
        <v>750</v>
      </c>
      <c r="H60" s="73">
        <f>G60*F60</f>
        <v>77.25</v>
      </c>
      <c r="I60" s="83"/>
      <c r="J60" s="72">
        <f>F60</f>
        <v>0.10299999999999999</v>
      </c>
      <c r="K60" s="82">
        <f>$G$60</f>
        <v>750</v>
      </c>
      <c r="L60" s="73">
        <f>K60*J60</f>
        <v>77.25</v>
      </c>
      <c r="M60" s="83"/>
      <c r="N60" s="84">
        <f t="shared" si="14"/>
        <v>0</v>
      </c>
      <c r="O60" s="74">
        <f t="shared" si="10"/>
        <v>0</v>
      </c>
      <c r="Q60" s="143"/>
      <c r="R60" s="212"/>
      <c r="S60" s="143"/>
      <c r="T60" s="212"/>
      <c r="U60" s="143"/>
      <c r="V60" s="212"/>
      <c r="W60" s="143"/>
    </row>
    <row r="61" spans="2:23" s="85" customFormat="1" ht="13.5" thickBot="1" x14ac:dyDescent="0.25">
      <c r="B61" s="78" t="s">
        <v>41</v>
      </c>
      <c r="C61" s="79"/>
      <c r="D61" s="80"/>
      <c r="E61" s="81"/>
      <c r="F61" s="72">
        <f>'Proposed Rates'!D230</f>
        <v>0.121</v>
      </c>
      <c r="G61" s="82">
        <f>F18-G60</f>
        <v>1276750</v>
      </c>
      <c r="H61" s="73">
        <f>G61*F61</f>
        <v>154486.75</v>
      </c>
      <c r="I61" s="83"/>
      <c r="J61" s="72">
        <f>F61</f>
        <v>0.121</v>
      </c>
      <c r="K61" s="82">
        <f>$G$61</f>
        <v>1276750</v>
      </c>
      <c r="L61" s="73">
        <f>K61*J61</f>
        <v>154486.75</v>
      </c>
      <c r="M61" s="83"/>
      <c r="N61" s="84">
        <f t="shared" si="14"/>
        <v>0</v>
      </c>
      <c r="O61" s="74">
        <f t="shared" si="10"/>
        <v>0</v>
      </c>
      <c r="Q61" s="143"/>
      <c r="R61" s="212"/>
      <c r="S61" s="143"/>
      <c r="T61" s="212"/>
      <c r="U61" s="143"/>
      <c r="V61" s="212"/>
      <c r="W61" s="143"/>
    </row>
    <row r="62" spans="2:23" ht="8.25" customHeight="1" thickBot="1" x14ac:dyDescent="0.25">
      <c r="B62" s="86"/>
      <c r="C62" s="87"/>
      <c r="D62" s="88"/>
      <c r="E62" s="87"/>
      <c r="F62" s="89"/>
      <c r="G62" s="90"/>
      <c r="H62" s="91"/>
      <c r="I62" s="92"/>
      <c r="J62" s="89"/>
      <c r="K62" s="93"/>
      <c r="L62" s="91"/>
      <c r="M62" s="92"/>
      <c r="N62" s="94"/>
      <c r="O62" s="95"/>
      <c r="Q62" s="107"/>
      <c r="S62" s="107"/>
      <c r="U62" s="107"/>
      <c r="W62" s="107"/>
    </row>
    <row r="63" spans="2:23" x14ac:dyDescent="0.2">
      <c r="B63" s="96" t="s">
        <v>42</v>
      </c>
      <c r="C63" s="21"/>
      <c r="D63" s="21"/>
      <c r="E63" s="21"/>
      <c r="F63" s="97"/>
      <c r="G63" s="98"/>
      <c r="H63" s="99">
        <f>SUM(H52:H59,H51)</f>
        <v>190118.77928750002</v>
      </c>
      <c r="I63" s="100"/>
      <c r="J63" s="101"/>
      <c r="K63" s="101"/>
      <c r="L63" s="99">
        <f>SUM(L52:L59,L51)</f>
        <v>185054.6067875</v>
      </c>
      <c r="M63" s="102"/>
      <c r="N63" s="103">
        <f t="shared" ref="N63" si="17">L63-H63</f>
        <v>-5064.1725000000151</v>
      </c>
      <c r="O63" s="104">
        <f t="shared" ref="O63" si="18">IF((H63)=0,"",(N63/H63))</f>
        <v>-2.6636887313177565E-2</v>
      </c>
      <c r="Q63" s="102"/>
      <c r="S63" s="102"/>
      <c r="U63" s="102"/>
      <c r="W63" s="102"/>
    </row>
    <row r="64" spans="2:23" x14ac:dyDescent="0.2">
      <c r="B64" s="105" t="s">
        <v>43</v>
      </c>
      <c r="C64" s="21"/>
      <c r="D64" s="21"/>
      <c r="E64" s="21"/>
      <c r="F64" s="106">
        <v>0.13</v>
      </c>
      <c r="G64" s="107"/>
      <c r="H64" s="108">
        <f>H63*F64</f>
        <v>24715.441307375004</v>
      </c>
      <c r="I64" s="109"/>
      <c r="J64" s="110">
        <v>0.13</v>
      </c>
      <c r="K64" s="109"/>
      <c r="L64" s="111">
        <f>L63*J64</f>
        <v>24057.098882375001</v>
      </c>
      <c r="M64" s="112"/>
      <c r="N64" s="113">
        <f t="shared" si="14"/>
        <v>-658.34242500000255</v>
      </c>
      <c r="O64" s="114">
        <f t="shared" si="10"/>
        <v>-2.6636887313177589E-2</v>
      </c>
      <c r="Q64" s="112"/>
      <c r="S64" s="112"/>
      <c r="U64" s="112"/>
      <c r="W64" s="112"/>
    </row>
    <row r="65" spans="1:23" ht="13.5" thickBot="1" x14ac:dyDescent="0.25">
      <c r="B65" s="115" t="s">
        <v>44</v>
      </c>
      <c r="C65" s="21"/>
      <c r="D65" s="21"/>
      <c r="E65" s="21"/>
      <c r="F65" s="116"/>
      <c r="G65" s="107"/>
      <c r="H65" s="99">
        <f>H63+H64</f>
        <v>214834.22059487502</v>
      </c>
      <c r="I65" s="109"/>
      <c r="J65" s="109"/>
      <c r="K65" s="109"/>
      <c r="L65" s="220">
        <f>L63+L64</f>
        <v>209111.70566987499</v>
      </c>
      <c r="M65" s="112"/>
      <c r="N65" s="103">
        <f t="shared" si="14"/>
        <v>-5722.514925000025</v>
      </c>
      <c r="O65" s="104">
        <f t="shared" si="10"/>
        <v>-2.6636887313177603E-2</v>
      </c>
      <c r="Q65" s="112"/>
      <c r="S65" s="112"/>
      <c r="U65" s="112"/>
      <c r="W65" s="112"/>
    </row>
    <row r="66" spans="1:23" s="85" customFormat="1" ht="8.25" customHeight="1" thickBot="1" x14ac:dyDescent="0.25">
      <c r="B66" s="117"/>
      <c r="C66" s="118"/>
      <c r="D66" s="119"/>
      <c r="E66" s="118"/>
      <c r="F66" s="89"/>
      <c r="G66" s="120"/>
      <c r="H66" s="91"/>
      <c r="I66" s="121"/>
      <c r="J66" s="89"/>
      <c r="K66" s="122"/>
      <c r="L66" s="91"/>
      <c r="M66" s="121"/>
      <c r="N66" s="123"/>
      <c r="O66" s="95"/>
      <c r="Q66" s="143"/>
      <c r="R66" s="212"/>
      <c r="S66" s="143"/>
      <c r="T66" s="212"/>
      <c r="U66" s="143"/>
      <c r="V66" s="212"/>
      <c r="W66" s="143"/>
    </row>
    <row r="67" spans="1:23" s="85" customFormat="1" x14ac:dyDescent="0.2">
      <c r="B67" s="124" t="s">
        <v>45</v>
      </c>
      <c r="C67" s="79"/>
      <c r="D67" s="79"/>
      <c r="E67" s="79"/>
      <c r="F67" s="125"/>
      <c r="G67" s="126"/>
      <c r="H67" s="127">
        <f>SUM(H60:H61,H51,H52:H56)</f>
        <v>202382.05428750001</v>
      </c>
      <c r="I67" s="128"/>
      <c r="J67" s="129"/>
      <c r="K67" s="129"/>
      <c r="L67" s="127">
        <f>SUM(L60:L61,L51,L52:L56)</f>
        <v>197317.88178749999</v>
      </c>
      <c r="M67" s="130"/>
      <c r="N67" s="131">
        <f t="shared" ref="N67:N69" si="19">L67-H67</f>
        <v>-5064.1725000000151</v>
      </c>
      <c r="O67" s="104">
        <f t="shared" ref="O67:O69" si="20">IF((H67)=0,"",(N67/H67))</f>
        <v>-2.5022833757809129E-2</v>
      </c>
      <c r="Q67" s="130"/>
      <c r="R67" s="212"/>
      <c r="S67" s="130"/>
      <c r="T67" s="212"/>
      <c r="U67" s="130"/>
      <c r="V67" s="212"/>
      <c r="W67" s="130"/>
    </row>
    <row r="68" spans="1:23" s="85" customFormat="1" x14ac:dyDescent="0.2">
      <c r="B68" s="132" t="s">
        <v>43</v>
      </c>
      <c r="C68" s="79"/>
      <c r="D68" s="79"/>
      <c r="E68" s="79"/>
      <c r="F68" s="133">
        <v>0.13</v>
      </c>
      <c r="G68" s="126"/>
      <c r="H68" s="134">
        <f>H67*F68</f>
        <v>26309.667057375002</v>
      </c>
      <c r="I68" s="135"/>
      <c r="J68" s="136">
        <v>0.13</v>
      </c>
      <c r="K68" s="137"/>
      <c r="L68" s="138">
        <f>L67*J68</f>
        <v>25651.324632374999</v>
      </c>
      <c r="M68" s="139"/>
      <c r="N68" s="140">
        <f t="shared" si="19"/>
        <v>-658.34242500000255</v>
      </c>
      <c r="O68" s="114">
        <f t="shared" si="20"/>
        <v>-2.502283375780915E-2</v>
      </c>
      <c r="Q68" s="139"/>
      <c r="R68" s="212"/>
      <c r="S68" s="139"/>
      <c r="T68" s="212"/>
      <c r="U68" s="139"/>
      <c r="V68" s="212"/>
      <c r="W68" s="139"/>
    </row>
    <row r="69" spans="1:23" s="85" customFormat="1" ht="13.5" thickBot="1" x14ac:dyDescent="0.25">
      <c r="B69" s="141" t="s">
        <v>44</v>
      </c>
      <c r="C69" s="79"/>
      <c r="D69" s="79"/>
      <c r="E69" s="79"/>
      <c r="F69" s="142"/>
      <c r="G69" s="143"/>
      <c r="H69" s="127">
        <f>H67+H68</f>
        <v>228691.721344875</v>
      </c>
      <c r="I69" s="135"/>
      <c r="J69" s="135"/>
      <c r="K69" s="135"/>
      <c r="L69" s="219">
        <f>L67+L68</f>
        <v>222969.206419875</v>
      </c>
      <c r="M69" s="139"/>
      <c r="N69" s="131">
        <f t="shared" si="19"/>
        <v>-5722.5149249999959</v>
      </c>
      <c r="O69" s="104">
        <f t="shared" si="20"/>
        <v>-2.5022833757809039E-2</v>
      </c>
      <c r="Q69" s="139"/>
      <c r="R69" s="212"/>
      <c r="S69" s="139"/>
      <c r="T69" s="212"/>
      <c r="U69" s="139"/>
      <c r="V69" s="212"/>
      <c r="W69" s="139"/>
    </row>
    <row r="70" spans="1:23" s="85" customFormat="1" ht="8.25" customHeight="1" thickBot="1" x14ac:dyDescent="0.25">
      <c r="B70" s="117"/>
      <c r="C70" s="118"/>
      <c r="D70" s="119"/>
      <c r="E70" s="118"/>
      <c r="F70" s="144"/>
      <c r="G70" s="145"/>
      <c r="H70" s="146"/>
      <c r="I70" s="147"/>
      <c r="J70" s="144"/>
      <c r="K70" s="120"/>
      <c r="L70" s="148"/>
      <c r="M70" s="121"/>
      <c r="N70" s="149"/>
      <c r="O70" s="95"/>
      <c r="Q70" s="143"/>
      <c r="R70" s="212"/>
      <c r="S70" s="143"/>
      <c r="T70" s="212"/>
      <c r="U70" s="143"/>
      <c r="V70" s="212"/>
      <c r="W70" s="143"/>
    </row>
    <row r="71" spans="1:23" x14ac:dyDescent="0.2">
      <c r="L71" s="150"/>
    </row>
    <row r="72" spans="1:23" x14ac:dyDescent="0.2">
      <c r="B72" s="12" t="s">
        <v>46</v>
      </c>
      <c r="F72" s="151">
        <f>'Proposed Rates'!D204</f>
        <v>3.3500000000000002E-2</v>
      </c>
      <c r="J72" s="151">
        <f>+'Res (100)'!J70</f>
        <v>3.3500000000000002E-2</v>
      </c>
    </row>
    <row r="73" spans="1:23" ht="13.5" thickBot="1" x14ac:dyDescent="0.25"/>
    <row r="74" spans="1:23" ht="8.25" customHeight="1" thickBot="1" x14ac:dyDescent="0.25">
      <c r="B74" s="86"/>
      <c r="C74" s="87"/>
      <c r="D74" s="88"/>
      <c r="E74" s="87"/>
      <c r="F74" s="89"/>
      <c r="G74" s="90"/>
      <c r="H74" s="91"/>
      <c r="I74" s="92"/>
      <c r="J74" s="89"/>
      <c r="K74" s="93"/>
      <c r="L74" s="91"/>
      <c r="M74" s="92"/>
      <c r="N74" s="94"/>
      <c r="O74" s="95"/>
      <c r="Q74" s="107"/>
      <c r="S74" s="107"/>
      <c r="U74" s="107"/>
      <c r="W74" s="107"/>
    </row>
    <row r="75" spans="1:23" x14ac:dyDescent="0.2">
      <c r="B75" s="96" t="s">
        <v>42</v>
      </c>
      <c r="C75" s="21"/>
      <c r="D75" s="21"/>
      <c r="E75" s="21"/>
      <c r="F75" s="97"/>
      <c r="G75" s="98"/>
      <c r="H75" s="99">
        <f>+H63-H31-H40-H41-H42-H43</f>
        <v>189558.8567875</v>
      </c>
      <c r="I75" s="100"/>
      <c r="J75" s="101"/>
      <c r="K75" s="101"/>
      <c r="L75" s="99">
        <f>+L63-L31-L40-L41-L42-L43</f>
        <v>190388.1067875</v>
      </c>
      <c r="M75" s="102"/>
      <c r="N75" s="103">
        <f t="shared" ref="N75:N77" si="21">L75-H75</f>
        <v>829.25</v>
      </c>
      <c r="O75" s="104">
        <f t="shared" ref="O75:O77" si="22">IF((H75)=0,"",(N75/H75))</f>
        <v>4.374630729755925E-3</v>
      </c>
      <c r="Q75" s="102"/>
      <c r="S75" s="102"/>
      <c r="U75" s="102"/>
      <c r="W75" s="102"/>
    </row>
    <row r="76" spans="1:23" x14ac:dyDescent="0.2">
      <c r="B76" s="105" t="s">
        <v>43</v>
      </c>
      <c r="C76" s="21"/>
      <c r="D76" s="21"/>
      <c r="E76" s="21"/>
      <c r="F76" s="106">
        <v>0.13</v>
      </c>
      <c r="G76" s="107"/>
      <c r="H76" s="108">
        <f>H75*F76</f>
        <v>24642.651382374999</v>
      </c>
      <c r="I76" s="109"/>
      <c r="J76" s="110">
        <v>0.13</v>
      </c>
      <c r="K76" s="109"/>
      <c r="L76" s="111">
        <f>L75*J76</f>
        <v>24750.453882375001</v>
      </c>
      <c r="M76" s="112"/>
      <c r="N76" s="113">
        <f t="shared" si="21"/>
        <v>107.8025000000016</v>
      </c>
      <c r="O76" s="114">
        <f t="shared" si="22"/>
        <v>4.37463072975599E-3</v>
      </c>
      <c r="Q76" s="112"/>
      <c r="S76" s="112"/>
      <c r="U76" s="112"/>
      <c r="W76" s="112"/>
    </row>
    <row r="77" spans="1:23" x14ac:dyDescent="0.2">
      <c r="B77" s="115" t="s">
        <v>44</v>
      </c>
      <c r="C77" s="21"/>
      <c r="D77" s="21"/>
      <c r="E77" s="21"/>
      <c r="F77" s="213"/>
      <c r="G77" s="214"/>
      <c r="H77" s="225">
        <f>H75+H76</f>
        <v>214201.50816987501</v>
      </c>
      <c r="I77" s="215"/>
      <c r="J77" s="215"/>
      <c r="K77" s="215"/>
      <c r="L77" s="224">
        <f>L75+L76</f>
        <v>215138.56066987501</v>
      </c>
      <c r="M77" s="216"/>
      <c r="N77" s="223">
        <f t="shared" si="21"/>
        <v>937.05249999999069</v>
      </c>
      <c r="O77" s="222">
        <f t="shared" si="22"/>
        <v>4.3746307297558816E-3</v>
      </c>
      <c r="Q77" s="112"/>
      <c r="S77" s="112"/>
      <c r="U77" s="112"/>
      <c r="W77" s="112"/>
    </row>
    <row r="78" spans="1:23" ht="13.5" customHeight="1" x14ac:dyDescent="0.2">
      <c r="Q78" s="210"/>
      <c r="R78" s="210"/>
      <c r="S78" s="6"/>
      <c r="T78" s="6"/>
      <c r="U78" s="6"/>
      <c r="V78" s="6"/>
      <c r="W78" s="6"/>
    </row>
    <row r="79" spans="1:23" ht="12" customHeight="1" x14ac:dyDescent="0.2">
      <c r="A79" s="6" t="s">
        <v>47</v>
      </c>
      <c r="Q79" s="210"/>
      <c r="R79" s="210"/>
      <c r="S79" s="6"/>
      <c r="T79" s="6"/>
      <c r="U79" s="6"/>
      <c r="V79" s="6"/>
      <c r="W79" s="6"/>
    </row>
    <row r="80" spans="1:23" x14ac:dyDescent="0.2">
      <c r="A80" s="6" t="s">
        <v>48</v>
      </c>
      <c r="Q80" s="210"/>
      <c r="R80" s="210"/>
      <c r="S80" s="6"/>
      <c r="T80" s="6"/>
      <c r="U80" s="6"/>
      <c r="V80" s="6"/>
      <c r="W80" s="6"/>
    </row>
    <row r="81" spans="1:23" x14ac:dyDescent="0.2">
      <c r="Q81" s="210"/>
      <c r="R81" s="210"/>
      <c r="S81" s="6"/>
      <c r="T81" s="6"/>
      <c r="U81" s="6"/>
      <c r="V81" s="6"/>
      <c r="W81" s="6"/>
    </row>
    <row r="82" spans="1:23" x14ac:dyDescent="0.2">
      <c r="A82" s="153" t="s">
        <v>136</v>
      </c>
      <c r="Q82" s="210"/>
      <c r="R82" s="210"/>
      <c r="S82" s="6"/>
      <c r="T82" s="6"/>
      <c r="U82" s="6"/>
      <c r="V82" s="6"/>
      <c r="W82" s="6"/>
    </row>
    <row r="83" spans="1:23" x14ac:dyDescent="0.2">
      <c r="A83" s="11" t="s">
        <v>49</v>
      </c>
      <c r="Q83" s="210"/>
      <c r="R83" s="210"/>
      <c r="S83" s="6"/>
      <c r="T83" s="6"/>
      <c r="U83" s="6"/>
      <c r="V83" s="6"/>
      <c r="W83" s="6"/>
    </row>
    <row r="84" spans="1:23" x14ac:dyDescent="0.2">
      <c r="Q84" s="210"/>
      <c r="R84" s="210"/>
      <c r="S84" s="6"/>
      <c r="T84" s="6"/>
      <c r="U84" s="6"/>
      <c r="V84" s="6"/>
      <c r="W84" s="6"/>
    </row>
    <row r="85" spans="1:23" x14ac:dyDescent="0.2">
      <c r="A85" s="6" t="s">
        <v>135</v>
      </c>
      <c r="Q85" s="210"/>
      <c r="R85" s="210"/>
      <c r="S85" s="6"/>
      <c r="T85" s="6"/>
      <c r="U85" s="6"/>
      <c r="V85" s="6"/>
      <c r="W85" s="6"/>
    </row>
    <row r="86" spans="1:23" x14ac:dyDescent="0.2">
      <c r="A86" s="6" t="s">
        <v>50</v>
      </c>
      <c r="Q86" s="210"/>
      <c r="R86" s="210"/>
      <c r="S86" s="6"/>
      <c r="T86" s="6"/>
      <c r="U86" s="6"/>
      <c r="V86" s="6"/>
      <c r="W86" s="6"/>
    </row>
    <row r="87" spans="1:23" x14ac:dyDescent="0.2">
      <c r="A87" s="6" t="s">
        <v>51</v>
      </c>
      <c r="Q87" s="210"/>
      <c r="R87" s="210"/>
      <c r="S87" s="6"/>
      <c r="T87" s="6"/>
      <c r="U87" s="6"/>
      <c r="V87" s="6"/>
      <c r="W87" s="6"/>
    </row>
    <row r="88" spans="1:23" x14ac:dyDescent="0.2">
      <c r="A88" s="6" t="s">
        <v>52</v>
      </c>
      <c r="Q88" s="210"/>
      <c r="R88" s="210"/>
      <c r="S88" s="6"/>
      <c r="T88" s="6"/>
      <c r="U88" s="6"/>
      <c r="V88" s="6"/>
      <c r="W88" s="6"/>
    </row>
    <row r="89" spans="1:23" x14ac:dyDescent="0.2">
      <c r="A89" s="6" t="s">
        <v>53</v>
      </c>
      <c r="Q89" s="210"/>
      <c r="R89" s="210"/>
      <c r="S89" s="6"/>
      <c r="T89" s="6"/>
      <c r="U89" s="6"/>
      <c r="V89" s="6"/>
      <c r="W89" s="6"/>
    </row>
    <row r="90" spans="1:23" x14ac:dyDescent="0.2">
      <c r="Q90" s="210"/>
      <c r="R90" s="210"/>
      <c r="S90" s="6"/>
      <c r="T90" s="6"/>
      <c r="U90" s="6"/>
      <c r="V90" s="6"/>
      <c r="W90" s="6"/>
    </row>
    <row r="91" spans="1:23" x14ac:dyDescent="0.2">
      <c r="A91" s="152"/>
      <c r="B91" s="6" t="s">
        <v>54</v>
      </c>
      <c r="Q91" s="210"/>
      <c r="R91" s="210"/>
      <c r="S91" s="6"/>
      <c r="T91" s="6"/>
      <c r="U91" s="6"/>
      <c r="V91" s="6"/>
      <c r="W91" s="6"/>
    </row>
    <row r="92" spans="1:23" x14ac:dyDescent="0.2">
      <c r="Q92" s="210"/>
      <c r="R92" s="210"/>
      <c r="S92" s="6"/>
      <c r="T92" s="6"/>
      <c r="U92" s="6"/>
      <c r="V92" s="6"/>
      <c r="W92" s="6"/>
    </row>
    <row r="93" spans="1:23" x14ac:dyDescent="0.2">
      <c r="B93" s="153" t="s">
        <v>55</v>
      </c>
      <c r="Q93" s="210"/>
      <c r="R93" s="210"/>
      <c r="S93" s="6"/>
      <c r="T93" s="6"/>
      <c r="U93" s="6"/>
      <c r="V93" s="6"/>
      <c r="W93"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0 D66 D23:D38 D52:D62 D74 D49:D50 D40:D47">
      <formula1>"Monthly, per kWh, per kW"</formula1>
    </dataValidation>
    <dataValidation type="list" allowBlank="1" showInputMessage="1" showErrorMessage="1" sqref="E49:E50 E70 E66 E52:E62 E23:E38 E40:E47 E74">
      <formula1>#REF!</formula1>
    </dataValidation>
  </dataValidations>
  <pageMargins left="0.74803149606299213" right="0.74803149606299213" top="0.98425196850393704" bottom="0.98425196850393704" header="0.51181102362204722" footer="0.51181102362204722"/>
  <pageSetup scale="55" fitToWidth="2"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6</xdr:col>
                    <xdr:colOff>466725</xdr:colOff>
                    <xdr:row>16</xdr:row>
                    <xdr:rowOff>190500</xdr:rowOff>
                  </from>
                  <to>
                    <xdr:col>9</xdr:col>
                    <xdr:colOff>66675</xdr:colOff>
                    <xdr:row>18</xdr:row>
                    <xdr:rowOff>47625</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9</xdr:col>
                    <xdr:colOff>361950</xdr:colOff>
                    <xdr:row>16</xdr:row>
                    <xdr:rowOff>133350</xdr:rowOff>
                  </from>
                  <to>
                    <xdr:col>14</xdr:col>
                    <xdr:colOff>495300</xdr:colOff>
                    <xdr:row>18</xdr:row>
                    <xdr:rowOff>152400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W89"/>
  <sheetViews>
    <sheetView showGridLines="0" view="pageBreakPreview" zoomScale="70" zoomScaleNormal="85" zoomScaleSheetLayoutView="70" workbookViewId="0">
      <selection activeCell="M32" sqref="M32"/>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4.140625" style="6" customWidth="1"/>
    <col min="7" max="7" width="10.5703125" style="6" bestFit="1" customWidth="1"/>
    <col min="8" max="8" width="18" style="6" bestFit="1" customWidth="1"/>
    <col min="9" max="9" width="2.85546875" style="6" customWidth="1"/>
    <col min="10" max="10" width="11.85546875" style="6" bestFit="1" customWidth="1"/>
    <col min="11" max="11" width="9.85546875" style="6" bestFit="1" customWidth="1"/>
    <col min="12" max="12" width="17.7109375" style="6" bestFit="1" customWidth="1"/>
    <col min="13" max="13" width="2.85546875" style="6" customWidth="1"/>
    <col min="14" max="14" width="14.85546875" style="6" bestFit="1"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85546875" style="21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61</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1277500</v>
      </c>
      <c r="G18" s="12" t="s">
        <v>6</v>
      </c>
    </row>
    <row r="19" spans="2:23" x14ac:dyDescent="0.2">
      <c r="B19" s="11"/>
      <c r="F19" s="13">
        <v>4000</v>
      </c>
      <c r="G19" s="6" t="s">
        <v>58</v>
      </c>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156">
        <f>+'&gt;1500(2500)'!F23</f>
        <v>4193.93</v>
      </c>
      <c r="G23" s="25">
        <v>1</v>
      </c>
      <c r="H23" s="26">
        <f>G23*F23</f>
        <v>4193.93</v>
      </c>
      <c r="I23" s="27"/>
      <c r="J23" s="156">
        <f>+'&gt;1500(2500)'!J23</f>
        <v>4193.93</v>
      </c>
      <c r="K23" s="29">
        <v>1</v>
      </c>
      <c r="L23" s="26">
        <f>K23*J23</f>
        <v>4193.93</v>
      </c>
      <c r="M23" s="27"/>
      <c r="N23" s="30">
        <f>L23-H23</f>
        <v>0</v>
      </c>
      <c r="O23" s="31">
        <f>IF((H23)=0,"",(N23/H23))</f>
        <v>0</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59</v>
      </c>
      <c r="E29" s="23"/>
      <c r="F29" s="24">
        <f>+'&gt;1500(2500)'!F29</f>
        <v>3.6541000000000001</v>
      </c>
      <c r="G29" s="51">
        <f>+$F$19</f>
        <v>4000</v>
      </c>
      <c r="H29" s="26">
        <f t="shared" si="0"/>
        <v>14616.4</v>
      </c>
      <c r="I29" s="27"/>
      <c r="J29" s="24">
        <f>+'&gt;1500(2500)'!J29</f>
        <v>3.9180999999999999</v>
      </c>
      <c r="K29" s="51">
        <f>+$F$19</f>
        <v>4000</v>
      </c>
      <c r="L29" s="26">
        <f t="shared" si="1"/>
        <v>15672.4</v>
      </c>
      <c r="M29" s="27"/>
      <c r="N29" s="30">
        <f t="shared" si="2"/>
        <v>1056</v>
      </c>
      <c r="O29" s="31">
        <f t="shared" si="3"/>
        <v>7.2247612271147482E-2</v>
      </c>
      <c r="Q29" s="107"/>
      <c r="S29" s="107"/>
      <c r="U29" s="107"/>
      <c r="W29" s="107"/>
    </row>
    <row r="30" spans="2:23" x14ac:dyDescent="0.2">
      <c r="B30" s="21" t="s">
        <v>22</v>
      </c>
      <c r="C30" s="21"/>
      <c r="D30" s="22"/>
      <c r="E30" s="23"/>
      <c r="F30" s="24"/>
      <c r="G30" s="25">
        <f t="shared" ref="G30" si="4">$F$18</f>
        <v>1277500</v>
      </c>
      <c r="H30" s="26">
        <f t="shared" si="0"/>
        <v>0</v>
      </c>
      <c r="I30" s="27"/>
      <c r="J30" s="24"/>
      <c r="K30" s="25">
        <f t="shared" ref="K30:K38" si="5">$F$18</f>
        <v>1277500</v>
      </c>
      <c r="L30" s="26">
        <f t="shared" si="1"/>
        <v>0</v>
      </c>
      <c r="M30" s="27"/>
      <c r="N30" s="30">
        <f t="shared" si="2"/>
        <v>0</v>
      </c>
      <c r="O30" s="31" t="str">
        <f t="shared" si="3"/>
        <v/>
      </c>
      <c r="Q30" s="107"/>
      <c r="S30" s="107"/>
      <c r="U30" s="107"/>
      <c r="W30" s="107"/>
    </row>
    <row r="31" spans="2:23" x14ac:dyDescent="0.2">
      <c r="B31" s="21" t="s">
        <v>23</v>
      </c>
      <c r="C31" s="21"/>
      <c r="D31" s="22" t="s">
        <v>59</v>
      </c>
      <c r="E31" s="23"/>
      <c r="F31" s="24">
        <f>+'&gt;1500(2500)'!F31</f>
        <v>-7.7109999999999998E-2</v>
      </c>
      <c r="G31" s="51">
        <f>+$F$19</f>
        <v>4000</v>
      </c>
      <c r="H31" s="26">
        <f t="shared" si="0"/>
        <v>-308.44</v>
      </c>
      <c r="I31" s="27"/>
      <c r="J31" s="24">
        <f>+'&gt;1500(2500)'!J31</f>
        <v>0</v>
      </c>
      <c r="K31" s="51">
        <f>+$F$19</f>
        <v>4000</v>
      </c>
      <c r="L31" s="26">
        <f t="shared" si="1"/>
        <v>0</v>
      </c>
      <c r="M31" s="27"/>
      <c r="N31" s="30">
        <f t="shared" si="2"/>
        <v>308.44</v>
      </c>
      <c r="O31" s="31">
        <f t="shared" si="3"/>
        <v>-1</v>
      </c>
      <c r="Q31" s="107"/>
      <c r="S31" s="107"/>
      <c r="U31" s="107"/>
      <c r="W31" s="107"/>
    </row>
    <row r="32" spans="2:23" x14ac:dyDescent="0.2">
      <c r="B32" s="33"/>
      <c r="C32" s="21"/>
      <c r="D32" s="22"/>
      <c r="E32" s="23"/>
      <c r="F32" s="24"/>
      <c r="G32" s="25">
        <f t="shared" ref="G32:G38" si="6">$F$18</f>
        <v>1277500</v>
      </c>
      <c r="H32" s="26">
        <f t="shared" si="0"/>
        <v>0</v>
      </c>
      <c r="I32" s="27"/>
      <c r="J32" s="28"/>
      <c r="K32" s="25">
        <f t="shared" si="5"/>
        <v>1277500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1277500</v>
      </c>
      <c r="H33" s="26">
        <f t="shared" si="0"/>
        <v>0</v>
      </c>
      <c r="I33" s="27"/>
      <c r="J33" s="28"/>
      <c r="K33" s="25">
        <f t="shared" si="5"/>
        <v>1277500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1277500</v>
      </c>
      <c r="H34" s="26">
        <f t="shared" si="0"/>
        <v>0</v>
      </c>
      <c r="I34" s="27"/>
      <c r="J34" s="28"/>
      <c r="K34" s="25">
        <f t="shared" si="5"/>
        <v>1277500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1277500</v>
      </c>
      <c r="H35" s="26">
        <f t="shared" si="0"/>
        <v>0</v>
      </c>
      <c r="I35" s="27"/>
      <c r="J35" s="28"/>
      <c r="K35" s="25">
        <f t="shared" si="5"/>
        <v>1277500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1277500</v>
      </c>
      <c r="H36" s="26">
        <f t="shared" si="0"/>
        <v>0</v>
      </c>
      <c r="I36" s="27"/>
      <c r="J36" s="28"/>
      <c r="K36" s="25">
        <f t="shared" si="5"/>
        <v>1277500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1277500</v>
      </c>
      <c r="H37" s="26">
        <f t="shared" si="0"/>
        <v>0</v>
      </c>
      <c r="I37" s="27"/>
      <c r="J37" s="28"/>
      <c r="K37" s="25">
        <f t="shared" si="5"/>
        <v>1277500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1277500</v>
      </c>
      <c r="H38" s="26">
        <f t="shared" si="0"/>
        <v>0</v>
      </c>
      <c r="I38" s="27"/>
      <c r="J38" s="28"/>
      <c r="K38" s="25">
        <f t="shared" si="5"/>
        <v>1277500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18501.890000000003</v>
      </c>
      <c r="I39" s="40"/>
      <c r="J39" s="41"/>
      <c r="K39" s="42"/>
      <c r="L39" s="39">
        <f>SUM(L23:L38)</f>
        <v>19866.330000000002</v>
      </c>
      <c r="M39" s="40"/>
      <c r="N39" s="43">
        <f t="shared" si="2"/>
        <v>1364.4399999999987</v>
      </c>
      <c r="O39" s="44">
        <f t="shared" si="3"/>
        <v>7.3745979464800535E-2</v>
      </c>
      <c r="Q39" s="107"/>
      <c r="R39" s="211"/>
      <c r="S39" s="107"/>
      <c r="T39" s="211"/>
      <c r="U39" s="107"/>
      <c r="V39" s="211"/>
      <c r="W39" s="107"/>
    </row>
    <row r="40" spans="2:23" ht="38.25" x14ac:dyDescent="0.2">
      <c r="B40" s="46" t="str">
        <f>+'&gt;1500(2500)'!B40</f>
        <v>Deferral/Variance Account Disposition Rate Rider Class 1</v>
      </c>
      <c r="C40" s="21"/>
      <c r="D40" s="22" t="str">
        <f>+'&gt;1500(2500)'!D40</f>
        <v>per kW</v>
      </c>
      <c r="E40" s="23"/>
      <c r="F40" s="24">
        <f>'Proposed Rates'!D41</f>
        <v>-0.395098</v>
      </c>
      <c r="G40" s="51">
        <f>+$F$19</f>
        <v>4000</v>
      </c>
      <c r="H40" s="26">
        <f>G40*F40</f>
        <v>-1580.3920000000001</v>
      </c>
      <c r="I40" s="27"/>
      <c r="J40" s="24">
        <f>+'&gt;1500(2500)'!J40</f>
        <v>1.2999999999999999E-2</v>
      </c>
      <c r="K40" s="51">
        <f>+$F$19</f>
        <v>4000</v>
      </c>
      <c r="L40" s="26">
        <f>K40*J40</f>
        <v>52</v>
      </c>
      <c r="M40" s="27"/>
      <c r="N40" s="30">
        <f>L40-H40</f>
        <v>1632.3920000000001</v>
      </c>
      <c r="O40" s="31">
        <f>IF((H40)=0,"",(N40/H40))</f>
        <v>-1.0329032290722808</v>
      </c>
      <c r="Q40" s="107"/>
      <c r="S40" s="107"/>
      <c r="U40" s="107"/>
      <c r="W40" s="107"/>
    </row>
    <row r="41" spans="2:23" ht="38.25" x14ac:dyDescent="0.2">
      <c r="B41" s="46" t="str">
        <f>+'&gt;1500(2500)'!B41</f>
        <v>Deferral/Variance Account Disposition Rate Rider Class 2</v>
      </c>
      <c r="C41" s="21"/>
      <c r="D41" s="22" t="str">
        <f>+'&gt;1500(2500)'!D41</f>
        <v>per kW</v>
      </c>
      <c r="E41" s="23"/>
      <c r="F41" s="24">
        <f>'Proposed Rates'!D55</f>
        <v>-3.4349999999999999E-2</v>
      </c>
      <c r="G41" s="51">
        <f>+F19</f>
        <v>4000</v>
      </c>
      <c r="H41" s="26">
        <f t="shared" ref="H41:H46" si="7">G41*F41</f>
        <v>-137.4</v>
      </c>
      <c r="I41" s="47"/>
      <c r="J41" s="24">
        <f>+'&gt;1500(2500)'!J41</f>
        <v>1.43E-2</v>
      </c>
      <c r="K41" s="51">
        <f>+$F$19</f>
        <v>4000</v>
      </c>
      <c r="L41" s="26">
        <f t="shared" ref="L41:L46" si="8">K41*J41</f>
        <v>57.2</v>
      </c>
      <c r="M41" s="48"/>
      <c r="N41" s="30">
        <f t="shared" ref="N41:N46" si="9">L41-H41</f>
        <v>194.60000000000002</v>
      </c>
      <c r="O41" s="31">
        <f t="shared" ref="O41:O65" si="10">IF((H41)=0,"",(N41/H41))</f>
        <v>-1.4163027656477438</v>
      </c>
      <c r="Q41" s="107"/>
      <c r="S41" s="107"/>
      <c r="U41" s="107"/>
      <c r="W41" s="107"/>
    </row>
    <row r="42" spans="2:23" ht="38.25" x14ac:dyDescent="0.2">
      <c r="B42" s="46" t="str">
        <f>+'&gt;50 (100)'!B42</f>
        <v xml:space="preserve">Deferral/Variance Account Disposition Rate Rider -  Global Adjustment </v>
      </c>
      <c r="C42" s="21"/>
      <c r="D42" s="22" t="str">
        <f>+'&gt;1500(2500)'!D42</f>
        <v>per kWh</v>
      </c>
      <c r="E42" s="23"/>
      <c r="F42" s="24">
        <f>'Proposed Rates'!D84</f>
        <v>2.81E-3</v>
      </c>
      <c r="G42" s="25">
        <f t="shared" ref="G42" si="11">$F$18</f>
        <v>1277500</v>
      </c>
      <c r="H42" s="26">
        <f t="shared" si="7"/>
        <v>3589.7750000000001</v>
      </c>
      <c r="I42" s="47"/>
      <c r="J42" s="24">
        <f>+'&gt;1500(2500)'!J42</f>
        <v>-2.0999999999999999E-3</v>
      </c>
      <c r="K42" s="25">
        <f t="shared" ref="K42" si="12">$F$18</f>
        <v>1277500</v>
      </c>
      <c r="L42" s="26">
        <f t="shared" si="8"/>
        <v>-2682.75</v>
      </c>
      <c r="M42" s="48"/>
      <c r="N42" s="30">
        <f t="shared" si="9"/>
        <v>-6272.5249999999996</v>
      </c>
      <c r="O42" s="31">
        <f t="shared" si="10"/>
        <v>-1.7473309608540923</v>
      </c>
      <c r="Q42" s="107"/>
      <c r="S42" s="107"/>
      <c r="U42" s="107"/>
      <c r="W42" s="107"/>
    </row>
    <row r="43" spans="2:23" ht="38.25" x14ac:dyDescent="0.2">
      <c r="B43" s="46" t="str">
        <f>+'&gt;50 (100)'!B43</f>
        <v>Deferral / Variance Accounts Balances (excluding Global Adj.) - NON-WMP</v>
      </c>
      <c r="C43" s="21"/>
      <c r="D43" s="22" t="s">
        <v>59</v>
      </c>
      <c r="E43" s="23"/>
      <c r="F43" s="24">
        <f>'Proposed Rates'!D100</f>
        <v>-0.70538299999999998</v>
      </c>
      <c r="G43" s="51">
        <f>$F$19</f>
        <v>4000</v>
      </c>
      <c r="H43" s="26">
        <f t="shared" si="7"/>
        <v>-2821.5320000000002</v>
      </c>
      <c r="I43" s="47"/>
      <c r="J43" s="28">
        <f>+'&gt;1500(2500)'!J43</f>
        <v>-1.0875999999999999</v>
      </c>
      <c r="K43" s="51">
        <f>+$F$19</f>
        <v>4000</v>
      </c>
      <c r="L43" s="26">
        <f t="shared" si="8"/>
        <v>-4350.3999999999996</v>
      </c>
      <c r="M43" s="48"/>
      <c r="N43" s="30">
        <f t="shared" si="9"/>
        <v>-1528.8679999999995</v>
      </c>
      <c r="O43" s="31">
        <f t="shared" si="10"/>
        <v>0.54185740229067025</v>
      </c>
      <c r="Q43" s="107"/>
      <c r="S43" s="107"/>
      <c r="U43" s="107"/>
      <c r="W43" s="107"/>
    </row>
    <row r="44" spans="2:23" ht="38.25" x14ac:dyDescent="0.2">
      <c r="B44" s="46" t="s">
        <v>128</v>
      </c>
      <c r="C44" s="21"/>
      <c r="D44" s="22" t="s">
        <v>21</v>
      </c>
      <c r="E44" s="23"/>
      <c r="F44" s="24">
        <f>+'&gt;1500(2500)'!F44</f>
        <v>0</v>
      </c>
      <c r="G44" s="25">
        <f t="shared" ref="G44" si="13">$F$18</f>
        <v>1277500</v>
      </c>
      <c r="H44" s="26">
        <f t="shared" si="7"/>
        <v>0</v>
      </c>
      <c r="I44" s="236"/>
      <c r="J44" s="233">
        <f>+'&gt;1500(2500)'!J44</f>
        <v>2.7E-4</v>
      </c>
      <c r="K44" s="25">
        <f t="shared" ref="K44" si="14">$F$18</f>
        <v>1277500</v>
      </c>
      <c r="L44" s="26">
        <f t="shared" si="8"/>
        <v>344.92500000000001</v>
      </c>
      <c r="M44" s="236"/>
      <c r="N44" s="30">
        <f t="shared" si="9"/>
        <v>344.92500000000001</v>
      </c>
      <c r="O44" s="31" t="str">
        <f t="shared" si="10"/>
        <v/>
      </c>
      <c r="Q44" s="107"/>
      <c r="S44" s="107"/>
      <c r="U44" s="107"/>
      <c r="W44" s="107"/>
    </row>
    <row r="45" spans="2:23" x14ac:dyDescent="0.2">
      <c r="B45" s="49" t="s">
        <v>26</v>
      </c>
      <c r="C45" s="21"/>
      <c r="D45" s="22" t="s">
        <v>59</v>
      </c>
      <c r="E45" s="23"/>
      <c r="F45" s="50">
        <f>'&gt;1500(2500)'!F45</f>
        <v>2.7E-2</v>
      </c>
      <c r="G45" s="51">
        <f>+$F$19</f>
        <v>4000</v>
      </c>
      <c r="H45" s="26">
        <f>G45*F45</f>
        <v>108</v>
      </c>
      <c r="I45" s="27"/>
      <c r="J45" s="52">
        <f>'&gt;1500(2500)'!J45</f>
        <v>2.8129999999999999E-2</v>
      </c>
      <c r="K45" s="51">
        <f>+$F$19</f>
        <v>4000</v>
      </c>
      <c r="L45" s="26">
        <f>K45*J45</f>
        <v>112.52</v>
      </c>
      <c r="M45" s="27"/>
      <c r="N45" s="30">
        <f>L45-H45</f>
        <v>4.519999999999996</v>
      </c>
      <c r="O45" s="31">
        <f>IF((H45)=0,"",(N45/H45))</f>
        <v>4.1851851851851814E-2</v>
      </c>
      <c r="Q45" s="107"/>
      <c r="S45" s="107"/>
      <c r="U45" s="107"/>
      <c r="W45" s="107"/>
    </row>
    <row r="46" spans="2:23" x14ac:dyDescent="0.2">
      <c r="B46" s="49" t="s">
        <v>27</v>
      </c>
      <c r="C46" s="21"/>
      <c r="D46" s="22"/>
      <c r="E46" s="23"/>
      <c r="F46" s="53">
        <f>IF(ISBLANK(D16)=TRUE, 0, IF(D16="TOU", 0.65*$F$57+0.17*$F$58+0.18*$F$59, IF(AND(D16="non-TOU", G61&gt;0), F61,F60)))</f>
        <v>0.11139</v>
      </c>
      <c r="G46" s="54">
        <f>$F$18*(1+$F$72)-$F$18</f>
        <v>42796.25</v>
      </c>
      <c r="H46" s="26">
        <f t="shared" si="7"/>
        <v>4767.0742875000005</v>
      </c>
      <c r="I46" s="27"/>
      <c r="J46" s="55">
        <f>0.65*$J$57+0.17*$J$58+0.18*$J$59</f>
        <v>0.11139</v>
      </c>
      <c r="K46" s="54">
        <f>$F$18*(1+$J$72)-$F$18</f>
        <v>42796.25</v>
      </c>
      <c r="L46" s="26">
        <f t="shared" si="8"/>
        <v>4767.0742875000005</v>
      </c>
      <c r="M46" s="27"/>
      <c r="N46" s="30">
        <f t="shared" si="9"/>
        <v>0</v>
      </c>
      <c r="O46" s="31">
        <f t="shared" si="10"/>
        <v>0</v>
      </c>
      <c r="Q46" s="107"/>
      <c r="S46" s="107"/>
      <c r="U46" s="107"/>
      <c r="W46" s="107"/>
    </row>
    <row r="47" spans="2:23" x14ac:dyDescent="0.2">
      <c r="B47" s="49" t="s">
        <v>28</v>
      </c>
      <c r="C47" s="21"/>
      <c r="D47" s="22" t="s">
        <v>18</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5.5" x14ac:dyDescent="0.2">
      <c r="B48" s="56" t="s">
        <v>29</v>
      </c>
      <c r="C48" s="57"/>
      <c r="D48" s="57"/>
      <c r="E48" s="57"/>
      <c r="F48" s="58"/>
      <c r="G48" s="59"/>
      <c r="H48" s="60">
        <f>SUM(H40:H47)+H39</f>
        <v>22427.415287500004</v>
      </c>
      <c r="I48" s="40"/>
      <c r="J48" s="59"/>
      <c r="K48" s="61"/>
      <c r="L48" s="60">
        <f>SUM(L40:L47)+L39</f>
        <v>18166.899287500004</v>
      </c>
      <c r="M48" s="40"/>
      <c r="N48" s="43">
        <f t="shared" ref="N48:N65" si="15">L48-H48</f>
        <v>-4260.5159999999996</v>
      </c>
      <c r="O48" s="44">
        <f t="shared" si="10"/>
        <v>-0.18996910457062846</v>
      </c>
      <c r="Q48" s="107"/>
      <c r="S48" s="107"/>
      <c r="U48" s="107"/>
      <c r="W48" s="107"/>
    </row>
    <row r="49" spans="2:23" x14ac:dyDescent="0.2">
      <c r="B49" s="27" t="s">
        <v>30</v>
      </c>
      <c r="C49" s="27"/>
      <c r="D49" s="62" t="s">
        <v>59</v>
      </c>
      <c r="E49" s="63"/>
      <c r="F49" s="28">
        <f>'&gt;1500(2500)'!F49</f>
        <v>2.9704000000000002</v>
      </c>
      <c r="G49" s="64">
        <f>+$F$19</f>
        <v>4000</v>
      </c>
      <c r="H49" s="26">
        <f>G49*F49</f>
        <v>11881.6</v>
      </c>
      <c r="I49" s="27"/>
      <c r="J49" s="28">
        <f>'&gt;1500(2500)'!J49</f>
        <v>2.9089</v>
      </c>
      <c r="K49" s="64">
        <f>+$F$19</f>
        <v>4000</v>
      </c>
      <c r="L49" s="26">
        <f>K49*J49</f>
        <v>11635.6</v>
      </c>
      <c r="M49" s="27"/>
      <c r="N49" s="30">
        <f t="shared" si="15"/>
        <v>-246</v>
      </c>
      <c r="O49" s="31">
        <f t="shared" si="10"/>
        <v>-2.0704282251548613E-2</v>
      </c>
      <c r="Q49" s="107"/>
      <c r="S49" s="107"/>
      <c r="U49" s="107"/>
      <c r="W49" s="107"/>
    </row>
    <row r="50" spans="2:23" ht="25.5" x14ac:dyDescent="0.2">
      <c r="B50" s="66" t="s">
        <v>31</v>
      </c>
      <c r="C50" s="27"/>
      <c r="D50" s="62" t="s">
        <v>59</v>
      </c>
      <c r="E50" s="63"/>
      <c r="F50" s="28">
        <f>'&gt;1500(2500)'!F50</f>
        <v>1.9521999999999999</v>
      </c>
      <c r="G50" s="64">
        <f>G49</f>
        <v>4000</v>
      </c>
      <c r="H50" s="26">
        <f>G50*F50</f>
        <v>7808.8</v>
      </c>
      <c r="I50" s="27"/>
      <c r="J50" s="28">
        <f>'&gt;1500(2500)'!J50</f>
        <v>1.9422999999999999</v>
      </c>
      <c r="K50" s="64">
        <f>K49</f>
        <v>4000</v>
      </c>
      <c r="L50" s="26">
        <f>K50*J50</f>
        <v>7769.2</v>
      </c>
      <c r="M50" s="27"/>
      <c r="N50" s="30">
        <f t="shared" si="15"/>
        <v>-39.600000000000364</v>
      </c>
      <c r="O50" s="31">
        <f t="shared" si="10"/>
        <v>-5.0712017211351759E-3</v>
      </c>
      <c r="Q50" s="107"/>
      <c r="S50" s="107"/>
      <c r="U50" s="107"/>
      <c r="W50" s="107"/>
    </row>
    <row r="51" spans="2:23" ht="25.5" x14ac:dyDescent="0.2">
      <c r="B51" s="56" t="s">
        <v>32</v>
      </c>
      <c r="C51" s="35"/>
      <c r="D51" s="35"/>
      <c r="E51" s="35"/>
      <c r="F51" s="67"/>
      <c r="G51" s="59"/>
      <c r="H51" s="60">
        <f>SUM(H48:H50)</f>
        <v>42117.815287500009</v>
      </c>
      <c r="I51" s="68"/>
      <c r="J51" s="69"/>
      <c r="K51" s="59"/>
      <c r="L51" s="60">
        <f>SUM(L48:L50)</f>
        <v>37571.6992875</v>
      </c>
      <c r="M51" s="68"/>
      <c r="N51" s="43">
        <f t="shared" si="15"/>
        <v>-4546.1160000000091</v>
      </c>
      <c r="O51" s="44">
        <f t="shared" si="10"/>
        <v>-0.10793807724754503</v>
      </c>
      <c r="Q51" s="102"/>
      <c r="S51" s="102"/>
      <c r="U51" s="102"/>
      <c r="W51" s="102"/>
    </row>
    <row r="52" spans="2:23" ht="25.5" x14ac:dyDescent="0.2">
      <c r="B52" s="71" t="s">
        <v>33</v>
      </c>
      <c r="C52" s="21"/>
      <c r="D52" s="22" t="s">
        <v>21</v>
      </c>
      <c r="E52" s="23"/>
      <c r="F52" s="72">
        <f>'&gt;1500(2500)'!F52</f>
        <v>3.5999999999999999E-3</v>
      </c>
      <c r="G52" s="64">
        <f>+$F$18+G46</f>
        <v>1320296.25</v>
      </c>
      <c r="H52" s="73">
        <f t="shared" ref="H52:H59" si="16">G52*F52</f>
        <v>4753.0664999999999</v>
      </c>
      <c r="I52" s="27"/>
      <c r="J52" s="72">
        <f>F52</f>
        <v>3.5999999999999999E-3</v>
      </c>
      <c r="K52" s="64">
        <f>+$F$18+K46</f>
        <v>1320296.25</v>
      </c>
      <c r="L52" s="73">
        <f t="shared" ref="L52:L59" si="17">K52*J52</f>
        <v>4753.0664999999999</v>
      </c>
      <c r="M52" s="27"/>
      <c r="N52" s="30">
        <f t="shared" si="15"/>
        <v>0</v>
      </c>
      <c r="O52" s="74">
        <f t="shared" si="10"/>
        <v>0</v>
      </c>
      <c r="Q52" s="107"/>
      <c r="S52" s="107"/>
      <c r="U52" s="107"/>
      <c r="W52" s="107"/>
    </row>
    <row r="53" spans="2:23" ht="25.5" x14ac:dyDescent="0.2">
      <c r="B53" s="71" t="s">
        <v>34</v>
      </c>
      <c r="C53" s="21"/>
      <c r="D53" s="22" t="s">
        <v>21</v>
      </c>
      <c r="E53" s="23"/>
      <c r="F53" s="72">
        <f>'&gt;1500(2500)'!F53</f>
        <v>1.2999999999999999E-3</v>
      </c>
      <c r="G53" s="64">
        <f>G52</f>
        <v>1320296.25</v>
      </c>
      <c r="H53" s="73">
        <f t="shared" si="16"/>
        <v>1716.385125</v>
      </c>
      <c r="I53" s="27"/>
      <c r="J53" s="72">
        <f>F53</f>
        <v>1.2999999999999999E-3</v>
      </c>
      <c r="K53" s="64">
        <f>K52</f>
        <v>1320296.25</v>
      </c>
      <c r="L53" s="73">
        <f t="shared" si="17"/>
        <v>1716.385125</v>
      </c>
      <c r="M53" s="27"/>
      <c r="N53" s="30">
        <f t="shared" si="15"/>
        <v>0</v>
      </c>
      <c r="O53" s="74">
        <f t="shared" si="10"/>
        <v>0</v>
      </c>
      <c r="Q53" s="107"/>
      <c r="S53" s="107"/>
      <c r="U53" s="107"/>
      <c r="W53" s="107"/>
    </row>
    <row r="54" spans="2:23" x14ac:dyDescent="0.2">
      <c r="B54" s="21" t="s">
        <v>35</v>
      </c>
      <c r="C54" s="21"/>
      <c r="D54" s="22" t="s">
        <v>18</v>
      </c>
      <c r="E54" s="23"/>
      <c r="F54" s="72">
        <f>'&gt;1500(2500)'!F54</f>
        <v>0.25</v>
      </c>
      <c r="G54" s="25">
        <v>1</v>
      </c>
      <c r="H54" s="73">
        <f t="shared" si="16"/>
        <v>0.25</v>
      </c>
      <c r="I54" s="27"/>
      <c r="J54" s="72">
        <f>'&gt;1500(2500)'!J54</f>
        <v>0.25</v>
      </c>
      <c r="K54" s="29">
        <v>1</v>
      </c>
      <c r="L54" s="73">
        <f t="shared" si="17"/>
        <v>0.25</v>
      </c>
      <c r="M54" s="27"/>
      <c r="N54" s="30">
        <f t="shared" si="15"/>
        <v>0</v>
      </c>
      <c r="O54" s="74">
        <f t="shared" si="10"/>
        <v>0</v>
      </c>
      <c r="Q54" s="107"/>
      <c r="S54" s="107"/>
      <c r="U54" s="107"/>
      <c r="W54" s="107"/>
    </row>
    <row r="55" spans="2:23" x14ac:dyDescent="0.2">
      <c r="B55" s="21" t="s">
        <v>122</v>
      </c>
      <c r="C55" s="21"/>
      <c r="D55" s="22"/>
      <c r="E55" s="23"/>
      <c r="F55" s="72">
        <f>'Proposed Rates'!D221</f>
        <v>1.1000000000000001E-3</v>
      </c>
      <c r="G55" s="64">
        <f>G53</f>
        <v>1320296.25</v>
      </c>
      <c r="H55" s="73">
        <f>G55*F55</f>
        <v>1452.325875</v>
      </c>
      <c r="I55" s="27"/>
      <c r="J55" s="72">
        <f>F55</f>
        <v>1.1000000000000001E-3</v>
      </c>
      <c r="K55" s="64">
        <f>K53</f>
        <v>1320296.25</v>
      </c>
      <c r="L55" s="73">
        <f>K55*J55</f>
        <v>1452.325875</v>
      </c>
      <c r="M55" s="27"/>
      <c r="N55" s="30"/>
      <c r="O55" s="74"/>
      <c r="Q55" s="107"/>
      <c r="S55" s="107"/>
      <c r="U55" s="107"/>
      <c r="W55" s="107"/>
    </row>
    <row r="56" spans="2:23" x14ac:dyDescent="0.2">
      <c r="B56" s="21" t="s">
        <v>36</v>
      </c>
      <c r="C56" s="21"/>
      <c r="D56" s="22"/>
      <c r="E56" s="23"/>
      <c r="F56" s="72">
        <f>'&gt;1500(2500)'!F56</f>
        <v>6.94E-3</v>
      </c>
      <c r="G56" s="75">
        <f>$F$18</f>
        <v>1277500</v>
      </c>
      <c r="H56" s="73">
        <f t="shared" si="16"/>
        <v>8865.85</v>
      </c>
      <c r="I56" s="27"/>
      <c r="J56" s="72">
        <f>+F56</f>
        <v>6.94E-3</v>
      </c>
      <c r="K56" s="76">
        <f>$F$18</f>
        <v>1277500</v>
      </c>
      <c r="L56" s="73">
        <f t="shared" si="17"/>
        <v>8865.85</v>
      </c>
      <c r="M56" s="27"/>
      <c r="N56" s="30">
        <f t="shared" si="15"/>
        <v>0</v>
      </c>
      <c r="O56" s="74">
        <f t="shared" si="10"/>
        <v>0</v>
      </c>
      <c r="Q56" s="107"/>
      <c r="S56" s="107"/>
      <c r="U56" s="107"/>
      <c r="W56" s="107"/>
    </row>
    <row r="57" spans="2:23" x14ac:dyDescent="0.2">
      <c r="B57" s="49" t="s">
        <v>37</v>
      </c>
      <c r="C57" s="21"/>
      <c r="D57" s="22"/>
      <c r="E57" s="23"/>
      <c r="F57" s="72">
        <f>'&gt;1500(2500)'!F57</f>
        <v>8.6999999999999994E-2</v>
      </c>
      <c r="G57" s="77">
        <f>0.65*$F$18</f>
        <v>830375</v>
      </c>
      <c r="H57" s="73">
        <f t="shared" si="16"/>
        <v>72242.625</v>
      </c>
      <c r="I57" s="27"/>
      <c r="J57" s="72">
        <f>F57</f>
        <v>8.6999999999999994E-2</v>
      </c>
      <c r="K57" s="77">
        <f>$G$57</f>
        <v>830375</v>
      </c>
      <c r="L57" s="73">
        <f t="shared" si="17"/>
        <v>72242.625</v>
      </c>
      <c r="M57" s="27"/>
      <c r="N57" s="30">
        <f t="shared" si="15"/>
        <v>0</v>
      </c>
      <c r="O57" s="74">
        <f t="shared" si="10"/>
        <v>0</v>
      </c>
      <c r="Q57" s="107"/>
      <c r="S57" s="107"/>
      <c r="U57" s="107"/>
      <c r="W57" s="107"/>
    </row>
    <row r="58" spans="2:23" x14ac:dyDescent="0.2">
      <c r="B58" s="49" t="s">
        <v>38</v>
      </c>
      <c r="C58" s="21"/>
      <c r="D58" s="22"/>
      <c r="E58" s="23"/>
      <c r="F58" s="72">
        <f>'&gt;1500(2500)'!F58</f>
        <v>0.13200000000000001</v>
      </c>
      <c r="G58" s="77">
        <f>0.17*$F$18</f>
        <v>217175.00000000003</v>
      </c>
      <c r="H58" s="73">
        <f t="shared" si="16"/>
        <v>28667.100000000006</v>
      </c>
      <c r="I58" s="27"/>
      <c r="J58" s="72">
        <f>F58</f>
        <v>0.13200000000000001</v>
      </c>
      <c r="K58" s="77">
        <f>$G$58</f>
        <v>217175.00000000003</v>
      </c>
      <c r="L58" s="73">
        <f t="shared" si="17"/>
        <v>28667.100000000006</v>
      </c>
      <c r="M58" s="27"/>
      <c r="N58" s="30">
        <f t="shared" si="15"/>
        <v>0</v>
      </c>
      <c r="O58" s="74">
        <f t="shared" si="10"/>
        <v>0</v>
      </c>
      <c r="Q58" s="107"/>
      <c r="S58" s="107"/>
      <c r="U58" s="107"/>
      <c r="W58" s="107"/>
    </row>
    <row r="59" spans="2:23" x14ac:dyDescent="0.2">
      <c r="B59" s="11" t="s">
        <v>39</v>
      </c>
      <c r="C59" s="21"/>
      <c r="D59" s="22"/>
      <c r="E59" s="23"/>
      <c r="F59" s="72">
        <f>'&gt;1500(2500)'!F59</f>
        <v>0.18</v>
      </c>
      <c r="G59" s="77">
        <f>0.18*$F$18</f>
        <v>229950</v>
      </c>
      <c r="H59" s="73">
        <f t="shared" si="16"/>
        <v>41391</v>
      </c>
      <c r="I59" s="27"/>
      <c r="J59" s="72">
        <f>F59</f>
        <v>0.18</v>
      </c>
      <c r="K59" s="77">
        <f>$G$59</f>
        <v>229950</v>
      </c>
      <c r="L59" s="73">
        <f t="shared" si="17"/>
        <v>41391</v>
      </c>
      <c r="M59" s="27"/>
      <c r="N59" s="30">
        <f t="shared" si="15"/>
        <v>0</v>
      </c>
      <c r="O59" s="74">
        <f t="shared" si="10"/>
        <v>0</v>
      </c>
      <c r="Q59" s="107"/>
      <c r="S59" s="107"/>
      <c r="U59" s="107"/>
      <c r="W59" s="107"/>
    </row>
    <row r="60" spans="2:23" s="85" customFormat="1" x14ac:dyDescent="0.2">
      <c r="B60" s="78" t="s">
        <v>40</v>
      </c>
      <c r="C60" s="79"/>
      <c r="D60" s="80"/>
      <c r="E60" s="81"/>
      <c r="F60" s="72">
        <f>'&gt;1500(2500)'!F60</f>
        <v>0.10299999999999999</v>
      </c>
      <c r="G60" s="82">
        <v>750</v>
      </c>
      <c r="H60" s="73">
        <f>G60*F60</f>
        <v>77.25</v>
      </c>
      <c r="I60" s="83"/>
      <c r="J60" s="72">
        <f>F60</f>
        <v>0.10299999999999999</v>
      </c>
      <c r="K60" s="82">
        <f>$G$60</f>
        <v>750</v>
      </c>
      <c r="L60" s="73">
        <f>K60*J60</f>
        <v>77.25</v>
      </c>
      <c r="M60" s="83"/>
      <c r="N60" s="84">
        <f t="shared" si="15"/>
        <v>0</v>
      </c>
      <c r="O60" s="74">
        <f t="shared" si="10"/>
        <v>0</v>
      </c>
      <c r="Q60" s="143"/>
      <c r="R60" s="212"/>
      <c r="S60" s="143"/>
      <c r="T60" s="212"/>
      <c r="U60" s="143"/>
      <c r="V60" s="212"/>
      <c r="W60" s="143"/>
    </row>
    <row r="61" spans="2:23" s="85" customFormat="1" ht="13.5" thickBot="1" x14ac:dyDescent="0.25">
      <c r="B61" s="78" t="s">
        <v>41</v>
      </c>
      <c r="C61" s="79"/>
      <c r="D61" s="80"/>
      <c r="E61" s="81"/>
      <c r="F61" s="72">
        <f>'&gt;1500(2500)'!F61</f>
        <v>0.121</v>
      </c>
      <c r="G61" s="82">
        <f>F18-G60</f>
        <v>1276750</v>
      </c>
      <c r="H61" s="73">
        <f>G61*F61</f>
        <v>154486.75</v>
      </c>
      <c r="I61" s="83"/>
      <c r="J61" s="72">
        <f>F61</f>
        <v>0.121</v>
      </c>
      <c r="K61" s="82">
        <f>$G$61</f>
        <v>1276750</v>
      </c>
      <c r="L61" s="73">
        <f>K61*J61</f>
        <v>154486.75</v>
      </c>
      <c r="M61" s="83"/>
      <c r="N61" s="84">
        <f t="shared" si="15"/>
        <v>0</v>
      </c>
      <c r="O61" s="74">
        <f t="shared" si="10"/>
        <v>0</v>
      </c>
      <c r="Q61" s="143"/>
      <c r="R61" s="212"/>
      <c r="S61" s="143"/>
      <c r="T61" s="212"/>
      <c r="U61" s="143"/>
      <c r="V61" s="212"/>
      <c r="W61" s="143"/>
    </row>
    <row r="62" spans="2:23" ht="8.25" customHeight="1" thickBot="1" x14ac:dyDescent="0.25">
      <c r="B62" s="86"/>
      <c r="C62" s="87"/>
      <c r="D62" s="88"/>
      <c r="E62" s="87"/>
      <c r="F62" s="89"/>
      <c r="G62" s="90"/>
      <c r="H62" s="91"/>
      <c r="I62" s="92"/>
      <c r="J62" s="89"/>
      <c r="K62" s="93"/>
      <c r="L62" s="91"/>
      <c r="M62" s="92"/>
      <c r="N62" s="94"/>
      <c r="O62" s="95"/>
      <c r="Q62" s="107"/>
      <c r="S62" s="107"/>
      <c r="U62" s="107"/>
      <c r="W62" s="107"/>
    </row>
    <row r="63" spans="2:23" x14ac:dyDescent="0.2">
      <c r="B63" s="96" t="s">
        <v>42</v>
      </c>
      <c r="C63" s="21"/>
      <c r="D63" s="21"/>
      <c r="E63" s="21"/>
      <c r="F63" s="97"/>
      <c r="G63" s="98"/>
      <c r="H63" s="99">
        <f>SUM(H52:H59,H51)</f>
        <v>201206.41778750002</v>
      </c>
      <c r="I63" s="100"/>
      <c r="J63" s="101"/>
      <c r="K63" s="101"/>
      <c r="L63" s="99">
        <f>SUM(L52:L59,L51)</f>
        <v>196660.30178750001</v>
      </c>
      <c r="M63" s="102"/>
      <c r="N63" s="103">
        <f t="shared" ref="N63" si="18">L63-H63</f>
        <v>-4546.1160000000091</v>
      </c>
      <c r="O63" s="104">
        <f t="shared" ref="O63" si="19">IF((H63)=0,"",(N63/H63))</f>
        <v>-2.2594289237837805E-2</v>
      </c>
      <c r="Q63" s="102"/>
      <c r="S63" s="102"/>
      <c r="U63" s="102"/>
      <c r="W63" s="102"/>
    </row>
    <row r="64" spans="2:23" x14ac:dyDescent="0.2">
      <c r="B64" s="105" t="s">
        <v>43</v>
      </c>
      <c r="C64" s="21"/>
      <c r="D64" s="21"/>
      <c r="E64" s="21"/>
      <c r="F64" s="106">
        <v>0.13</v>
      </c>
      <c r="G64" s="107"/>
      <c r="H64" s="108">
        <f>H63*F64</f>
        <v>26156.834312375002</v>
      </c>
      <c r="I64" s="109"/>
      <c r="J64" s="110">
        <v>0.13</v>
      </c>
      <c r="K64" s="109"/>
      <c r="L64" s="111">
        <f>L63*J64</f>
        <v>25565.839232375001</v>
      </c>
      <c r="M64" s="112"/>
      <c r="N64" s="113">
        <f t="shared" si="15"/>
        <v>-590.9950800000006</v>
      </c>
      <c r="O64" s="114">
        <f t="shared" si="10"/>
        <v>-2.2594289237837784E-2</v>
      </c>
      <c r="Q64" s="112"/>
      <c r="S64" s="112"/>
      <c r="U64" s="112"/>
      <c r="W64" s="112"/>
    </row>
    <row r="65" spans="1:23" ht="13.5" thickBot="1" x14ac:dyDescent="0.25">
      <c r="B65" s="115" t="s">
        <v>44</v>
      </c>
      <c r="C65" s="21"/>
      <c r="D65" s="21"/>
      <c r="E65" s="21"/>
      <c r="F65" s="116"/>
      <c r="G65" s="107"/>
      <c r="H65" s="99">
        <f>H63+H64</f>
        <v>227363.25209987501</v>
      </c>
      <c r="I65" s="109"/>
      <c r="J65" s="109"/>
      <c r="K65" s="109"/>
      <c r="L65" s="220">
        <f>L63+L64</f>
        <v>222226.14101987501</v>
      </c>
      <c r="M65" s="112"/>
      <c r="N65" s="103">
        <f t="shared" si="15"/>
        <v>-5137.1110800000024</v>
      </c>
      <c r="O65" s="104">
        <f t="shared" si="10"/>
        <v>-2.2594289237837774E-2</v>
      </c>
      <c r="Q65" s="112"/>
      <c r="S65" s="112"/>
      <c r="U65" s="112"/>
      <c r="W65" s="112"/>
    </row>
    <row r="66" spans="1:23" s="85" customFormat="1" ht="8.25" customHeight="1" thickBot="1" x14ac:dyDescent="0.25">
      <c r="B66" s="117"/>
      <c r="C66" s="118"/>
      <c r="D66" s="119"/>
      <c r="E66" s="118"/>
      <c r="F66" s="89"/>
      <c r="G66" s="120"/>
      <c r="H66" s="91"/>
      <c r="I66" s="121"/>
      <c r="J66" s="89"/>
      <c r="K66" s="122"/>
      <c r="L66" s="91"/>
      <c r="M66" s="121"/>
      <c r="N66" s="123"/>
      <c r="O66" s="95"/>
      <c r="Q66" s="143"/>
      <c r="R66" s="212"/>
      <c r="S66" s="143"/>
      <c r="T66" s="212"/>
      <c r="U66" s="143"/>
      <c r="V66" s="212"/>
      <c r="W66" s="143"/>
    </row>
    <row r="67" spans="1:23" s="85" customFormat="1" x14ac:dyDescent="0.2">
      <c r="B67" s="124" t="s">
        <v>45</v>
      </c>
      <c r="C67" s="79"/>
      <c r="D67" s="79"/>
      <c r="E67" s="79"/>
      <c r="F67" s="125"/>
      <c r="G67" s="126"/>
      <c r="H67" s="127">
        <f>SUM(H60:H61,H51,H52:H56)</f>
        <v>213469.69278750001</v>
      </c>
      <c r="I67" s="128"/>
      <c r="J67" s="129"/>
      <c r="K67" s="129"/>
      <c r="L67" s="127">
        <f>SUM(L60:L61,L51,L52:L56)</f>
        <v>208923.5767875</v>
      </c>
      <c r="M67" s="130"/>
      <c r="N67" s="131">
        <f t="shared" ref="N67:N69" si="20">L67-H67</f>
        <v>-4546.1160000000091</v>
      </c>
      <c r="O67" s="104">
        <f t="shared" ref="O67:O69" si="21">IF((H67)=0,"",(N67/H67))</f>
        <v>-2.1296306471595826E-2</v>
      </c>
      <c r="Q67" s="130"/>
      <c r="R67" s="212"/>
      <c r="S67" s="130"/>
      <c r="T67" s="212"/>
      <c r="U67" s="130"/>
      <c r="V67" s="212"/>
      <c r="W67" s="130"/>
    </row>
    <row r="68" spans="1:23" s="85" customFormat="1" x14ac:dyDescent="0.2">
      <c r="B68" s="132" t="s">
        <v>43</v>
      </c>
      <c r="C68" s="79"/>
      <c r="D68" s="79"/>
      <c r="E68" s="79"/>
      <c r="F68" s="133">
        <v>0.13</v>
      </c>
      <c r="G68" s="126"/>
      <c r="H68" s="134">
        <f>H67*F68</f>
        <v>27751.060062375003</v>
      </c>
      <c r="I68" s="135"/>
      <c r="J68" s="136">
        <v>0.13</v>
      </c>
      <c r="K68" s="137"/>
      <c r="L68" s="138">
        <f>L67*J68</f>
        <v>27160.064982375003</v>
      </c>
      <c r="M68" s="139"/>
      <c r="N68" s="140">
        <f t="shared" si="20"/>
        <v>-590.9950800000006</v>
      </c>
      <c r="O68" s="114">
        <f t="shared" si="21"/>
        <v>-2.1296306471595802E-2</v>
      </c>
      <c r="Q68" s="139"/>
      <c r="R68" s="212"/>
      <c r="S68" s="139"/>
      <c r="T68" s="212"/>
      <c r="U68" s="139"/>
      <c r="V68" s="212"/>
      <c r="W68" s="139"/>
    </row>
    <row r="69" spans="1:23" s="85" customFormat="1" ht="13.5" thickBot="1" x14ac:dyDescent="0.25">
      <c r="B69" s="141" t="s">
        <v>44</v>
      </c>
      <c r="C69" s="79"/>
      <c r="D69" s="79"/>
      <c r="E69" s="79"/>
      <c r="F69" s="142"/>
      <c r="G69" s="143"/>
      <c r="H69" s="127">
        <f>H67+H68</f>
        <v>241220.75284987502</v>
      </c>
      <c r="I69" s="135"/>
      <c r="J69" s="135"/>
      <c r="K69" s="135"/>
      <c r="L69" s="219">
        <f>L67+L68</f>
        <v>236083.64176987502</v>
      </c>
      <c r="M69" s="139"/>
      <c r="N69" s="131">
        <f t="shared" si="20"/>
        <v>-5137.1110800000024</v>
      </c>
      <c r="O69" s="104">
        <f t="shared" si="21"/>
        <v>-2.1296306471595791E-2</v>
      </c>
      <c r="Q69" s="139"/>
      <c r="R69" s="212"/>
      <c r="S69" s="139"/>
      <c r="T69" s="212"/>
      <c r="U69" s="139"/>
      <c r="V69" s="212"/>
      <c r="W69" s="139"/>
    </row>
    <row r="70" spans="1:23" s="85" customFormat="1" ht="8.25" customHeight="1" thickBot="1" x14ac:dyDescent="0.25">
      <c r="B70" s="117"/>
      <c r="C70" s="118"/>
      <c r="D70" s="119"/>
      <c r="E70" s="118"/>
      <c r="F70" s="144"/>
      <c r="G70" s="145"/>
      <c r="H70" s="146"/>
      <c r="I70" s="147"/>
      <c r="J70" s="144"/>
      <c r="K70" s="120"/>
      <c r="L70" s="148"/>
      <c r="M70" s="121"/>
      <c r="N70" s="149"/>
      <c r="O70" s="95"/>
      <c r="Q70" s="143"/>
      <c r="R70" s="212"/>
      <c r="S70" s="143"/>
      <c r="T70" s="212"/>
      <c r="U70" s="143"/>
      <c r="V70" s="212"/>
      <c r="W70" s="143"/>
    </row>
    <row r="71" spans="1:23" x14ac:dyDescent="0.2">
      <c r="L71" s="150"/>
    </row>
    <row r="72" spans="1:23" x14ac:dyDescent="0.2">
      <c r="B72" s="12" t="s">
        <v>46</v>
      </c>
      <c r="F72" s="151">
        <f>'&gt;1500(2500)'!F72</f>
        <v>3.3500000000000002E-2</v>
      </c>
      <c r="J72" s="151">
        <f>+'Res (100)'!J70</f>
        <v>3.3500000000000002E-2</v>
      </c>
    </row>
    <row r="74" spans="1:23" ht="13.5" customHeight="1" x14ac:dyDescent="0.2">
      <c r="Q74" s="210"/>
      <c r="R74" s="210"/>
      <c r="S74" s="6"/>
      <c r="T74" s="6"/>
      <c r="U74" s="6"/>
      <c r="V74" s="6"/>
      <c r="W74" s="6"/>
    </row>
    <row r="75" spans="1:23" ht="12" customHeight="1" x14ac:dyDescent="0.2">
      <c r="A75" s="6" t="s">
        <v>47</v>
      </c>
      <c r="Q75" s="210"/>
      <c r="R75" s="210"/>
      <c r="S75" s="6"/>
      <c r="T75" s="6"/>
      <c r="U75" s="6"/>
      <c r="V75" s="6"/>
      <c r="W75" s="6"/>
    </row>
    <row r="76" spans="1:23" x14ac:dyDescent="0.2">
      <c r="A76" s="6" t="s">
        <v>48</v>
      </c>
      <c r="Q76" s="210"/>
      <c r="R76" s="210"/>
      <c r="S76" s="6"/>
      <c r="T76" s="6"/>
      <c r="U76" s="6"/>
      <c r="V76" s="6"/>
      <c r="W76" s="6"/>
    </row>
    <row r="77" spans="1:23" x14ac:dyDescent="0.2">
      <c r="Q77" s="210"/>
      <c r="R77" s="210"/>
      <c r="S77" s="6"/>
      <c r="T77" s="6"/>
      <c r="U77" s="6"/>
      <c r="V77" s="6"/>
      <c r="W77" s="6"/>
    </row>
    <row r="78" spans="1:23" x14ac:dyDescent="0.2">
      <c r="A78" s="153" t="s">
        <v>136</v>
      </c>
      <c r="Q78" s="210"/>
      <c r="R78" s="210"/>
      <c r="S78" s="6"/>
      <c r="T78" s="6"/>
      <c r="U78" s="6"/>
      <c r="V78" s="6"/>
      <c r="W78" s="6"/>
    </row>
    <row r="79" spans="1:23" x14ac:dyDescent="0.2">
      <c r="A79" s="11" t="s">
        <v>49</v>
      </c>
      <c r="Q79" s="210"/>
      <c r="R79" s="210"/>
      <c r="S79" s="6"/>
      <c r="T79" s="6"/>
      <c r="U79" s="6"/>
      <c r="V79" s="6"/>
      <c r="W79" s="6"/>
    </row>
    <row r="80" spans="1:23" x14ac:dyDescent="0.2">
      <c r="Q80" s="210"/>
      <c r="R80" s="210"/>
      <c r="S80" s="6"/>
      <c r="T80" s="6"/>
      <c r="U80" s="6"/>
      <c r="V80" s="6"/>
      <c r="W80" s="6"/>
    </row>
    <row r="81" spans="1:23" x14ac:dyDescent="0.2">
      <c r="A81" s="6" t="s">
        <v>135</v>
      </c>
      <c r="Q81" s="210"/>
      <c r="R81" s="210"/>
      <c r="S81" s="6"/>
      <c r="T81" s="6"/>
      <c r="U81" s="6"/>
      <c r="V81" s="6"/>
      <c r="W81" s="6"/>
    </row>
    <row r="82" spans="1:23" x14ac:dyDescent="0.2">
      <c r="A82" s="6" t="s">
        <v>50</v>
      </c>
      <c r="Q82" s="210"/>
      <c r="R82" s="210"/>
      <c r="S82" s="6"/>
      <c r="T82" s="6"/>
      <c r="U82" s="6"/>
      <c r="V82" s="6"/>
      <c r="W82" s="6"/>
    </row>
    <row r="83" spans="1:23" x14ac:dyDescent="0.2">
      <c r="A83" s="6" t="s">
        <v>51</v>
      </c>
      <c r="Q83" s="210"/>
      <c r="R83" s="210"/>
      <c r="S83" s="6"/>
      <c r="T83" s="6"/>
      <c r="U83" s="6"/>
      <c r="V83" s="6"/>
      <c r="W83" s="6"/>
    </row>
    <row r="84" spans="1:23" x14ac:dyDescent="0.2">
      <c r="A84" s="6" t="s">
        <v>52</v>
      </c>
      <c r="Q84" s="210"/>
      <c r="R84" s="210"/>
      <c r="S84" s="6"/>
      <c r="T84" s="6"/>
      <c r="U84" s="6"/>
      <c r="V84" s="6"/>
      <c r="W84" s="6"/>
    </row>
    <row r="85" spans="1:23" x14ac:dyDescent="0.2">
      <c r="A85" s="6" t="s">
        <v>53</v>
      </c>
      <c r="Q85" s="210"/>
      <c r="R85" s="210"/>
      <c r="S85" s="6"/>
      <c r="T85" s="6"/>
      <c r="U85" s="6"/>
      <c r="V85" s="6"/>
      <c r="W85" s="6"/>
    </row>
    <row r="86" spans="1:23" x14ac:dyDescent="0.2">
      <c r="Q86" s="210"/>
      <c r="R86" s="210"/>
      <c r="S86" s="6"/>
      <c r="T86" s="6"/>
      <c r="U86" s="6"/>
      <c r="V86" s="6"/>
      <c r="W86" s="6"/>
    </row>
    <row r="87" spans="1:23" x14ac:dyDescent="0.2">
      <c r="A87" s="152"/>
      <c r="B87" s="6" t="s">
        <v>54</v>
      </c>
      <c r="Q87" s="210"/>
      <c r="R87" s="210"/>
      <c r="S87" s="6"/>
      <c r="T87" s="6"/>
      <c r="U87" s="6"/>
      <c r="V87" s="6"/>
      <c r="W87" s="6"/>
    </row>
    <row r="88" spans="1:23" x14ac:dyDescent="0.2">
      <c r="Q88" s="210"/>
      <c r="R88" s="210"/>
      <c r="S88" s="6"/>
      <c r="T88" s="6"/>
      <c r="U88" s="6"/>
      <c r="V88" s="6"/>
      <c r="W88" s="6"/>
    </row>
    <row r="89" spans="1:23" x14ac:dyDescent="0.2">
      <c r="B89" s="153" t="s">
        <v>55</v>
      </c>
      <c r="Q89" s="210"/>
      <c r="R89" s="210"/>
      <c r="S89" s="6"/>
      <c r="T89" s="6"/>
      <c r="U89" s="6"/>
      <c r="V89" s="6"/>
      <c r="W89" s="6"/>
    </row>
  </sheetData>
  <sheetProtection selectLockedCells="1"/>
  <mergeCells count="8">
    <mergeCell ref="N21:N22"/>
    <mergeCell ref="O21:O22"/>
    <mergeCell ref="A3:K3"/>
    <mergeCell ref="D14:O14"/>
    <mergeCell ref="F20:H20"/>
    <mergeCell ref="J20:L20"/>
    <mergeCell ref="N20:O20"/>
    <mergeCell ref="D21:D22"/>
  </mergeCells>
  <dataValidations count="3">
    <dataValidation type="list" allowBlank="1" showInputMessage="1" showErrorMessage="1" sqref="E49:E50 E70 E66 E52:E62 E23:E38 E40:E47">
      <formula1>#REF!</formula1>
    </dataValidation>
    <dataValidation type="list" allowBlank="1" showInputMessage="1" showErrorMessage="1" prompt="Select Charge Unit - monthly, per kWh, per kW" sqref="D70 D66 D23:D38 D52:D62 D49:D50 D40:D47">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5" fitToWidth="2"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Option Button 1">
              <controlPr defaultSize="0" autoFill="0" autoLine="0" autoPict="0">
                <anchor moveWithCells="1">
                  <from>
                    <xdr:col>6</xdr:col>
                    <xdr:colOff>466725</xdr:colOff>
                    <xdr:row>16</xdr:row>
                    <xdr:rowOff>190500</xdr:rowOff>
                  </from>
                  <to>
                    <xdr:col>9</xdr:col>
                    <xdr:colOff>47625</xdr:colOff>
                    <xdr:row>18</xdr:row>
                    <xdr:rowOff>47625</xdr:rowOff>
                  </to>
                </anchor>
              </controlPr>
            </control>
          </mc:Choice>
        </mc:AlternateContent>
        <mc:AlternateContent xmlns:mc="http://schemas.openxmlformats.org/markup-compatibility/2006">
          <mc:Choice Requires="x14">
            <control shapeId="35842" r:id="rId5" name="Option Button 2">
              <controlPr defaultSize="0" autoFill="0" autoLine="0" autoPict="0">
                <anchor moveWithCells="1">
                  <from>
                    <xdr:col>9</xdr:col>
                    <xdr:colOff>352425</xdr:colOff>
                    <xdr:row>16</xdr:row>
                    <xdr:rowOff>133350</xdr:rowOff>
                  </from>
                  <to>
                    <xdr:col>14</xdr:col>
                    <xdr:colOff>495300</xdr:colOff>
                    <xdr:row>18</xdr:row>
                    <xdr:rowOff>152400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93"/>
  <sheetViews>
    <sheetView showGridLines="0" view="pageBreakPreview" zoomScale="70" zoomScaleNormal="85" zoomScaleSheetLayoutView="70" workbookViewId="0">
      <selection activeCell="O41" sqref="O4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5.140625" style="6" customWidth="1"/>
    <col min="7" max="7" width="10.5703125" style="6" bestFit="1" customWidth="1"/>
    <col min="8" max="8" width="17.5703125" style="6" bestFit="1" customWidth="1"/>
    <col min="9" max="9" width="2.85546875" style="6" customWidth="1"/>
    <col min="10" max="10" width="11.85546875" style="6" bestFit="1" customWidth="1"/>
    <col min="11" max="11" width="9.85546875" style="6" bestFit="1" customWidth="1"/>
    <col min="12" max="12" width="18" style="6" bestFit="1" customWidth="1"/>
    <col min="13" max="13" width="2.85546875" style="6" customWidth="1"/>
    <col min="14" max="14" width="15.5703125" style="6" bestFit="1"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7109375" style="211" bestFit="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62</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4000000</v>
      </c>
      <c r="G18" s="12" t="s">
        <v>6</v>
      </c>
    </row>
    <row r="19" spans="2:23" x14ac:dyDescent="0.2">
      <c r="B19" s="11"/>
      <c r="F19" s="13">
        <v>7500</v>
      </c>
      <c r="G19" s="6" t="s">
        <v>58</v>
      </c>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73" t="s">
        <v>14</v>
      </c>
      <c r="O21" s="273" t="s">
        <v>15</v>
      </c>
    </row>
    <row r="22" spans="2:23" x14ac:dyDescent="0.2">
      <c r="B22" s="11"/>
      <c r="D22" s="263"/>
      <c r="E22" s="15"/>
      <c r="F22" s="19" t="s">
        <v>16</v>
      </c>
      <c r="G22" s="19"/>
      <c r="H22" s="20" t="s">
        <v>16</v>
      </c>
      <c r="J22" s="19" t="s">
        <v>16</v>
      </c>
      <c r="K22" s="20"/>
      <c r="L22" s="20" t="s">
        <v>16</v>
      </c>
      <c r="N22" s="274"/>
      <c r="O22" s="274"/>
    </row>
    <row r="23" spans="2:23" x14ac:dyDescent="0.2">
      <c r="B23" s="21" t="s">
        <v>17</v>
      </c>
      <c r="C23" s="21"/>
      <c r="D23" s="22" t="s">
        <v>18</v>
      </c>
      <c r="E23" s="23"/>
      <c r="F23" s="156">
        <f>'Proposed Rates'!D11</f>
        <v>15231.32</v>
      </c>
      <c r="G23" s="25">
        <v>1</v>
      </c>
      <c r="H23" s="26">
        <f>G23*F23</f>
        <v>15231.32</v>
      </c>
      <c r="I23" s="27"/>
      <c r="J23" s="157">
        <f>+'Proposed Rates'!E11</f>
        <v>15231.32</v>
      </c>
      <c r="K23" s="29">
        <v>1</v>
      </c>
      <c r="L23" s="26">
        <f>K23*J23</f>
        <v>15231.32</v>
      </c>
      <c r="M23" s="27"/>
      <c r="N23" s="30">
        <f>L23-H23</f>
        <v>0</v>
      </c>
      <c r="O23" s="31">
        <f>IF((H23)=0,"",(N23/H23))</f>
        <v>0</v>
      </c>
      <c r="Q23" s="107"/>
      <c r="S23" s="107"/>
      <c r="U23" s="107"/>
      <c r="W23" s="107"/>
    </row>
    <row r="24" spans="2:23" x14ac:dyDescent="0.2">
      <c r="B24" s="21" t="s">
        <v>19</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
      <c r="B29" s="21" t="s">
        <v>20</v>
      </c>
      <c r="C29" s="21"/>
      <c r="D29" s="22" t="s">
        <v>59</v>
      </c>
      <c r="E29" s="23"/>
      <c r="F29" s="24">
        <f>'Proposed Rates'!D24</f>
        <v>3.4742000000000002</v>
      </c>
      <c r="G29" s="51">
        <f>+$F$19</f>
        <v>7500</v>
      </c>
      <c r="H29" s="26">
        <f t="shared" si="0"/>
        <v>26056.5</v>
      </c>
      <c r="I29" s="27"/>
      <c r="J29" s="28">
        <f>+'Proposed Rates'!E24</f>
        <v>3.7199</v>
      </c>
      <c r="K29" s="51">
        <f>+$F$19</f>
        <v>7500</v>
      </c>
      <c r="L29" s="26">
        <f t="shared" si="1"/>
        <v>27899.25</v>
      </c>
      <c r="M29" s="27"/>
      <c r="N29" s="30">
        <f t="shared" si="2"/>
        <v>1842.75</v>
      </c>
      <c r="O29" s="31">
        <f t="shared" si="3"/>
        <v>7.0721317137758338E-2</v>
      </c>
      <c r="Q29" s="107"/>
      <c r="S29" s="107"/>
      <c r="U29" s="107"/>
      <c r="W29" s="107"/>
    </row>
    <row r="30" spans="2:23" x14ac:dyDescent="0.2">
      <c r="B30" s="21" t="s">
        <v>22</v>
      </c>
      <c r="C30" s="21"/>
      <c r="D30" s="22"/>
      <c r="E30" s="23"/>
      <c r="F30" s="24"/>
      <c r="G30" s="25">
        <f t="shared" ref="G30" si="4">$F$18</f>
        <v>4000000</v>
      </c>
      <c r="H30" s="26">
        <f t="shared" si="0"/>
        <v>0</v>
      </c>
      <c r="I30" s="27"/>
      <c r="J30" s="28"/>
      <c r="K30" s="25">
        <f t="shared" ref="K30:K38" si="5">$F$18</f>
        <v>4000000</v>
      </c>
      <c r="L30" s="26">
        <f t="shared" si="1"/>
        <v>0</v>
      </c>
      <c r="M30" s="27"/>
      <c r="N30" s="30">
        <f t="shared" si="2"/>
        <v>0</v>
      </c>
      <c r="O30" s="31" t="str">
        <f t="shared" si="3"/>
        <v/>
      </c>
      <c r="Q30" s="107"/>
      <c r="S30" s="107"/>
      <c r="U30" s="107"/>
      <c r="W30" s="107"/>
    </row>
    <row r="31" spans="2:23" x14ac:dyDescent="0.2">
      <c r="B31" s="21" t="s">
        <v>23</v>
      </c>
      <c r="C31" s="21"/>
      <c r="D31" s="22" t="s">
        <v>59</v>
      </c>
      <c r="E31" s="23"/>
      <c r="F31" s="24">
        <f>'Proposed Rates'!D71</f>
        <v>-7.7109999999999998E-2</v>
      </c>
      <c r="G31" s="51">
        <f>+$F$19</f>
        <v>7500</v>
      </c>
      <c r="H31" s="26">
        <f t="shared" si="0"/>
        <v>-578.32499999999993</v>
      </c>
      <c r="I31" s="27"/>
      <c r="J31" s="159">
        <f>+'Proposed Rates'!E71</f>
        <v>0</v>
      </c>
      <c r="K31" s="51">
        <f>+$F$19</f>
        <v>7500</v>
      </c>
      <c r="L31" s="26">
        <f t="shared" si="1"/>
        <v>0</v>
      </c>
      <c r="M31" s="27"/>
      <c r="N31" s="30">
        <f t="shared" si="2"/>
        <v>578.32499999999993</v>
      </c>
      <c r="O31" s="31">
        <f t="shared" si="3"/>
        <v>-1</v>
      </c>
      <c r="Q31" s="107"/>
      <c r="S31" s="107"/>
      <c r="U31" s="107"/>
      <c r="W31" s="107"/>
    </row>
    <row r="32" spans="2:23" x14ac:dyDescent="0.2">
      <c r="B32" s="33"/>
      <c r="C32" s="21"/>
      <c r="D32" s="22"/>
      <c r="E32" s="23"/>
      <c r="F32" s="24"/>
      <c r="G32" s="25">
        <f t="shared" ref="G32:G38" si="6">$F$18</f>
        <v>4000000</v>
      </c>
      <c r="H32" s="26">
        <f t="shared" si="0"/>
        <v>0</v>
      </c>
      <c r="I32" s="27"/>
      <c r="J32" s="28"/>
      <c r="K32" s="25">
        <f t="shared" si="5"/>
        <v>4000000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4000000</v>
      </c>
      <c r="H33" s="26">
        <f t="shared" si="0"/>
        <v>0</v>
      </c>
      <c r="I33" s="27"/>
      <c r="J33" s="28"/>
      <c r="K33" s="25">
        <f t="shared" si="5"/>
        <v>4000000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4000000</v>
      </c>
      <c r="H34" s="26">
        <f t="shared" si="0"/>
        <v>0</v>
      </c>
      <c r="I34" s="27"/>
      <c r="J34" s="28"/>
      <c r="K34" s="25">
        <f t="shared" si="5"/>
        <v>4000000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4000000</v>
      </c>
      <c r="H35" s="26">
        <f t="shared" si="0"/>
        <v>0</v>
      </c>
      <c r="I35" s="27"/>
      <c r="J35" s="28"/>
      <c r="K35" s="25">
        <f t="shared" si="5"/>
        <v>4000000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4000000</v>
      </c>
      <c r="H36" s="26">
        <f t="shared" si="0"/>
        <v>0</v>
      </c>
      <c r="I36" s="27"/>
      <c r="J36" s="28"/>
      <c r="K36" s="25">
        <f t="shared" si="5"/>
        <v>4000000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4000000</v>
      </c>
      <c r="H37" s="26">
        <f t="shared" si="0"/>
        <v>0</v>
      </c>
      <c r="I37" s="27"/>
      <c r="J37" s="28"/>
      <c r="K37" s="25">
        <f t="shared" si="5"/>
        <v>4000000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4000000</v>
      </c>
      <c r="H38" s="26">
        <f t="shared" si="0"/>
        <v>0</v>
      </c>
      <c r="I38" s="27"/>
      <c r="J38" s="28"/>
      <c r="K38" s="25">
        <f t="shared" si="5"/>
        <v>4000000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40709.495000000003</v>
      </c>
      <c r="I39" s="40"/>
      <c r="J39" s="41"/>
      <c r="K39" s="42"/>
      <c r="L39" s="39">
        <f>SUM(L23:L38)</f>
        <v>43130.57</v>
      </c>
      <c r="M39" s="40"/>
      <c r="N39" s="43">
        <f t="shared" si="2"/>
        <v>2421.0749999999971</v>
      </c>
      <c r="O39" s="44">
        <f t="shared" si="3"/>
        <v>5.9471997871749498E-2</v>
      </c>
      <c r="Q39" s="107"/>
      <c r="R39" s="211"/>
      <c r="S39" s="107"/>
      <c r="T39" s="211"/>
      <c r="U39" s="107"/>
      <c r="V39" s="211"/>
      <c r="W39" s="107"/>
    </row>
    <row r="40" spans="2:23" ht="38.25" x14ac:dyDescent="0.2">
      <c r="B40" s="46" t="str">
        <f>+'&gt;50 (100)'!B40</f>
        <v>Deferral/Variance Account Disposition Rate Rider Class 1</v>
      </c>
      <c r="C40" s="21"/>
      <c r="D40" s="22" t="str">
        <f>+'&gt;50 (100)'!D40</f>
        <v>per kW</v>
      </c>
      <c r="E40" s="23"/>
      <c r="F40" s="24">
        <f>'Proposed Rates'!D42</f>
        <v>-0.46758</v>
      </c>
      <c r="G40" s="51">
        <f>+$F$19</f>
        <v>7500</v>
      </c>
      <c r="H40" s="26">
        <f>G40*F40</f>
        <v>-3506.85</v>
      </c>
      <c r="I40" s="27"/>
      <c r="J40" s="28">
        <f>+'Proposed Rates'!E42</f>
        <v>1.54E-2</v>
      </c>
      <c r="K40" s="51">
        <f>+$F$19</f>
        <v>7500</v>
      </c>
      <c r="L40" s="26">
        <f>K40*J40</f>
        <v>115.5</v>
      </c>
      <c r="M40" s="27"/>
      <c r="N40" s="30">
        <f>L40-H40</f>
        <v>3622.35</v>
      </c>
      <c r="O40" s="31">
        <f>IF((H40)=0,"",(N40/H40))</f>
        <v>-1.0329355404422773</v>
      </c>
      <c r="Q40" s="107"/>
      <c r="S40" s="107"/>
      <c r="U40" s="107"/>
      <c r="W40" s="107"/>
    </row>
    <row r="41" spans="2:23" ht="38.25" x14ac:dyDescent="0.2">
      <c r="B41" s="46" t="str">
        <f>+'&gt;50 (100)'!B41</f>
        <v>Deferral/Variance Account Disposition Rate Rider Class 2</v>
      </c>
      <c r="C41" s="21"/>
      <c r="D41" s="22" t="str">
        <f>+'&gt;50 (100)'!D41</f>
        <v>per kW</v>
      </c>
      <c r="E41" s="23"/>
      <c r="F41" s="24">
        <f>'Proposed Rates'!D56</f>
        <v>-4.0820000000000002E-2</v>
      </c>
      <c r="G41" s="51">
        <f>+F19</f>
        <v>7500</v>
      </c>
      <c r="H41" s="26">
        <f t="shared" ref="H41:H46" si="7">G41*F41</f>
        <v>-306.15000000000003</v>
      </c>
      <c r="I41" s="47"/>
      <c r="J41" s="28">
        <f>+'Proposed Rates'!E56</f>
        <v>1.7000000000000001E-2</v>
      </c>
      <c r="K41" s="51">
        <f>$G$41</f>
        <v>7500</v>
      </c>
      <c r="L41" s="26">
        <f t="shared" ref="L41:L46" si="8">K41*J41</f>
        <v>127.50000000000001</v>
      </c>
      <c r="M41" s="48"/>
      <c r="N41" s="30">
        <f t="shared" ref="N41:N46" si="9">L41-H41</f>
        <v>433.65000000000003</v>
      </c>
      <c r="O41" s="31">
        <f t="shared" ref="O41:O65" si="10">IF((H41)=0,"",(N41/H41))</f>
        <v>-1.4164625183733464</v>
      </c>
      <c r="Q41" s="107"/>
      <c r="S41" s="107"/>
      <c r="U41" s="107"/>
      <c r="W41" s="107"/>
    </row>
    <row r="42" spans="2:23" ht="38.25" x14ac:dyDescent="0.2">
      <c r="B42" s="46" t="str">
        <f>+'&gt;50 (100)'!B42</f>
        <v xml:space="preserve">Deferral/Variance Account Disposition Rate Rider -  Global Adjustment </v>
      </c>
      <c r="C42" s="21"/>
      <c r="D42" s="22" t="str">
        <f>+'&gt;50 (100)'!D42</f>
        <v>per kWh</v>
      </c>
      <c r="E42" s="23"/>
      <c r="F42" s="24">
        <f>'Proposed Rates'!D85</f>
        <v>2.81E-3</v>
      </c>
      <c r="G42" s="25">
        <f t="shared" ref="G42" si="11">$F$18</f>
        <v>4000000</v>
      </c>
      <c r="H42" s="26">
        <f t="shared" si="7"/>
        <v>11240</v>
      </c>
      <c r="I42" s="47"/>
      <c r="J42" s="28">
        <f>+'Proposed Rates'!E85</f>
        <v>-2.0999999999999999E-3</v>
      </c>
      <c r="K42" s="25">
        <f t="shared" ref="K42" si="12">$F$18</f>
        <v>4000000</v>
      </c>
      <c r="L42" s="26">
        <f t="shared" si="8"/>
        <v>-8400</v>
      </c>
      <c r="M42" s="48"/>
      <c r="N42" s="30">
        <f t="shared" si="9"/>
        <v>-19640</v>
      </c>
      <c r="O42" s="31">
        <f t="shared" si="10"/>
        <v>-1.7473309608540926</v>
      </c>
      <c r="Q42" s="107"/>
      <c r="S42" s="107"/>
      <c r="U42" s="107"/>
      <c r="W42" s="107"/>
    </row>
    <row r="43" spans="2:23" ht="38.25" x14ac:dyDescent="0.2">
      <c r="B43" s="46" t="str">
        <f>+'&gt;50 (100)'!B43</f>
        <v>Deferral / Variance Accounts Balances (excluding Global Adj.) - NON-WMP</v>
      </c>
      <c r="C43" s="21"/>
      <c r="D43" s="22" t="s">
        <v>59</v>
      </c>
      <c r="E43" s="23"/>
      <c r="F43" s="24">
        <f>'Proposed Rates'!D101</f>
        <v>-0.83478799999999997</v>
      </c>
      <c r="G43" s="51">
        <f>$F$19</f>
        <v>7500</v>
      </c>
      <c r="H43" s="26">
        <f t="shared" si="7"/>
        <v>-6260.91</v>
      </c>
      <c r="I43" s="47"/>
      <c r="J43" s="28">
        <f>+'Proposed Rates'!E101</f>
        <v>-1.2968999999999999</v>
      </c>
      <c r="K43" s="51">
        <f>$G$41</f>
        <v>7500</v>
      </c>
      <c r="L43" s="26">
        <f t="shared" si="8"/>
        <v>-9726.75</v>
      </c>
      <c r="M43" s="48"/>
      <c r="N43" s="30">
        <f t="shared" si="9"/>
        <v>-3465.84</v>
      </c>
      <c r="O43" s="31">
        <f t="shared" si="10"/>
        <v>0.55356809153940889</v>
      </c>
      <c r="Q43" s="107"/>
      <c r="S43" s="107"/>
      <c r="U43" s="107"/>
      <c r="W43" s="107"/>
    </row>
    <row r="44" spans="2:23" ht="38.25" x14ac:dyDescent="0.2">
      <c r="B44" s="46" t="s">
        <v>128</v>
      </c>
      <c r="C44" s="21"/>
      <c r="D44" s="22" t="s">
        <v>21</v>
      </c>
      <c r="E44" s="23"/>
      <c r="F44" s="24">
        <f>+'Proposed Rates'!D115</f>
        <v>0</v>
      </c>
      <c r="G44" s="25">
        <f t="shared" ref="G44" si="13">$F$18</f>
        <v>4000000</v>
      </c>
      <c r="H44" s="26">
        <f t="shared" si="7"/>
        <v>0</v>
      </c>
      <c r="I44" s="236"/>
      <c r="J44" s="233">
        <f>+'Proposed Rates'!E115</f>
        <v>2.7E-4</v>
      </c>
      <c r="K44" s="25">
        <f t="shared" ref="K44" si="14">$F$18</f>
        <v>4000000</v>
      </c>
      <c r="L44" s="26">
        <f t="shared" si="8"/>
        <v>1080</v>
      </c>
      <c r="M44" s="236"/>
      <c r="N44" s="30">
        <f t="shared" si="9"/>
        <v>1080</v>
      </c>
      <c r="O44" s="31" t="str">
        <f t="shared" si="10"/>
        <v/>
      </c>
      <c r="Q44" s="107"/>
      <c r="S44" s="107"/>
      <c r="U44" s="107"/>
      <c r="W44" s="107"/>
    </row>
    <row r="45" spans="2:23" x14ac:dyDescent="0.2">
      <c r="B45" s="49" t="s">
        <v>26</v>
      </c>
      <c r="C45" s="21"/>
      <c r="D45" s="22" t="s">
        <v>59</v>
      </c>
      <c r="E45" s="23"/>
      <c r="F45" s="50">
        <f>'Proposed Rates'!D130</f>
        <v>3.04E-2</v>
      </c>
      <c r="G45" s="51">
        <f>+$F$19</f>
        <v>7500</v>
      </c>
      <c r="H45" s="26">
        <f>G45*F45</f>
        <v>228</v>
      </c>
      <c r="I45" s="27"/>
      <c r="J45" s="52">
        <f>'Proposed Rates'!E130</f>
        <v>3.168E-2</v>
      </c>
      <c r="K45" s="51">
        <f>+$F$19</f>
        <v>7500</v>
      </c>
      <c r="L45" s="26">
        <f>K45*J45</f>
        <v>237.6</v>
      </c>
      <c r="M45" s="27"/>
      <c r="N45" s="30">
        <f>L45-H45</f>
        <v>9.5999999999999943</v>
      </c>
      <c r="O45" s="31">
        <f>IF((H45)=0,"",(N45/H45))</f>
        <v>4.2105263157894715E-2</v>
      </c>
      <c r="Q45" s="107"/>
      <c r="S45" s="107"/>
      <c r="U45" s="107"/>
      <c r="W45" s="107"/>
    </row>
    <row r="46" spans="2:23" x14ac:dyDescent="0.2">
      <c r="B46" s="49" t="s">
        <v>27</v>
      </c>
      <c r="C46" s="21"/>
      <c r="D46" s="22"/>
      <c r="E46" s="23"/>
      <c r="F46" s="53">
        <f>IF(ISBLANK(D16)=TRUE, 0, IF(D16="TOU", 0.65*$F$57+0.17*$F$58+0.18*$F$59, IF(AND(D16="non-TOU", G61&gt;0), F61,F60)))</f>
        <v>0.11139</v>
      </c>
      <c r="G46" s="54">
        <f>$F$18*(1+$F$72)-$F$18</f>
        <v>24800</v>
      </c>
      <c r="H46" s="26">
        <f t="shared" si="7"/>
        <v>2762.4720000000002</v>
      </c>
      <c r="I46" s="27"/>
      <c r="J46" s="55">
        <f>0.65*$J$57+0.17*$J$58+0.18*$J$59</f>
        <v>0.11139</v>
      </c>
      <c r="K46" s="54">
        <f>$F$18*(1+$J$72)-$F$18</f>
        <v>24800</v>
      </c>
      <c r="L46" s="26">
        <f t="shared" si="8"/>
        <v>2762.4720000000002</v>
      </c>
      <c r="M46" s="27"/>
      <c r="N46" s="30">
        <f t="shared" si="9"/>
        <v>0</v>
      </c>
      <c r="O46" s="31">
        <f t="shared" si="10"/>
        <v>0</v>
      </c>
      <c r="Q46" s="107"/>
      <c r="S46" s="107"/>
      <c r="U46" s="107"/>
      <c r="W46" s="107"/>
    </row>
    <row r="47" spans="2:23" x14ac:dyDescent="0.2">
      <c r="B47" s="49" t="s">
        <v>28</v>
      </c>
      <c r="C47" s="21"/>
      <c r="D47" s="22" t="s">
        <v>18</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5.5" x14ac:dyDescent="0.2">
      <c r="B48" s="56" t="s">
        <v>29</v>
      </c>
      <c r="C48" s="57"/>
      <c r="D48" s="57"/>
      <c r="E48" s="57"/>
      <c r="F48" s="58"/>
      <c r="G48" s="59"/>
      <c r="H48" s="60">
        <f>SUM(H40:H47)+H39</f>
        <v>44866.057000000001</v>
      </c>
      <c r="I48" s="40"/>
      <c r="J48" s="59"/>
      <c r="K48" s="61"/>
      <c r="L48" s="60">
        <f>SUM(L40:L47)+L39</f>
        <v>29326.892</v>
      </c>
      <c r="M48" s="40"/>
      <c r="N48" s="43">
        <f t="shared" ref="N48:N65" si="15">L48-H48</f>
        <v>-15539.165000000001</v>
      </c>
      <c r="O48" s="44">
        <f t="shared" si="10"/>
        <v>-0.34634567954121753</v>
      </c>
      <c r="Q48" s="107"/>
      <c r="S48" s="107"/>
      <c r="U48" s="107"/>
      <c r="W48" s="107"/>
    </row>
    <row r="49" spans="2:23" x14ac:dyDescent="0.2">
      <c r="B49" s="27" t="s">
        <v>30</v>
      </c>
      <c r="C49" s="27"/>
      <c r="D49" s="62" t="s">
        <v>59</v>
      </c>
      <c r="E49" s="63"/>
      <c r="F49" s="28">
        <f>'Proposed Rates'!D160</f>
        <v>3.2927</v>
      </c>
      <c r="G49" s="64">
        <f>+$F$19</f>
        <v>7500</v>
      </c>
      <c r="H49" s="26">
        <f>G49*F49</f>
        <v>24695.25</v>
      </c>
      <c r="I49" s="27"/>
      <c r="J49" s="28">
        <f>'Proposed Rates'!E160</f>
        <v>3.2246000000000001</v>
      </c>
      <c r="K49" s="64">
        <f>+$F$19</f>
        <v>7500</v>
      </c>
      <c r="L49" s="26">
        <f>K49*J49</f>
        <v>24184.5</v>
      </c>
      <c r="M49" s="27"/>
      <c r="N49" s="30">
        <f t="shared" si="15"/>
        <v>-510.75</v>
      </c>
      <c r="O49" s="31">
        <f t="shared" si="10"/>
        <v>-2.0682114981626021E-2</v>
      </c>
      <c r="Q49" s="107"/>
      <c r="S49" s="107"/>
      <c r="U49" s="107"/>
      <c r="W49" s="107"/>
    </row>
    <row r="50" spans="2:23" ht="25.5" x14ac:dyDescent="0.2">
      <c r="B50" s="66" t="s">
        <v>31</v>
      </c>
      <c r="C50" s="27"/>
      <c r="D50" s="62" t="s">
        <v>59</v>
      </c>
      <c r="E50" s="63"/>
      <c r="F50" s="28">
        <f>'Proposed Rates'!D175</f>
        <v>2.1983999999999999</v>
      </c>
      <c r="G50" s="64">
        <f>G49</f>
        <v>7500</v>
      </c>
      <c r="H50" s="26">
        <f>G50*F50</f>
        <v>16488</v>
      </c>
      <c r="I50" s="27"/>
      <c r="J50" s="28">
        <f>'Proposed Rates'!E175</f>
        <v>2.1873</v>
      </c>
      <c r="K50" s="64">
        <f>K49</f>
        <v>7500</v>
      </c>
      <c r="L50" s="26">
        <f>K50*J50</f>
        <v>16404.75</v>
      </c>
      <c r="M50" s="27"/>
      <c r="N50" s="30">
        <f t="shared" si="15"/>
        <v>-83.25</v>
      </c>
      <c r="O50" s="31">
        <f t="shared" si="10"/>
        <v>-5.0491266375545848E-3</v>
      </c>
      <c r="Q50" s="107"/>
      <c r="S50" s="107"/>
      <c r="U50" s="107"/>
      <c r="W50" s="107"/>
    </row>
    <row r="51" spans="2:23" ht="25.5" x14ac:dyDescent="0.2">
      <c r="B51" s="56" t="s">
        <v>32</v>
      </c>
      <c r="C51" s="35"/>
      <c r="D51" s="35"/>
      <c r="E51" s="35"/>
      <c r="F51" s="67"/>
      <c r="G51" s="59"/>
      <c r="H51" s="60">
        <f>SUM(H48:H50)</f>
        <v>86049.307000000001</v>
      </c>
      <c r="I51" s="68"/>
      <c r="J51" s="69"/>
      <c r="K51" s="59"/>
      <c r="L51" s="60">
        <f>SUM(L48:L50)</f>
        <v>69916.141999999993</v>
      </c>
      <c r="M51" s="68"/>
      <c r="N51" s="43">
        <f t="shared" si="15"/>
        <v>-16133.165000000008</v>
      </c>
      <c r="O51" s="44">
        <f t="shared" si="10"/>
        <v>-0.18748744833006045</v>
      </c>
      <c r="Q51" s="102"/>
      <c r="S51" s="102"/>
      <c r="U51" s="102"/>
      <c r="W51" s="102"/>
    </row>
    <row r="52" spans="2:23" ht="25.5" x14ac:dyDescent="0.2">
      <c r="B52" s="71" t="s">
        <v>33</v>
      </c>
      <c r="C52" s="21"/>
      <c r="D52" s="22" t="s">
        <v>21</v>
      </c>
      <c r="E52" s="23"/>
      <c r="F52" s="72">
        <f>'Proposed Rates'!D186</f>
        <v>3.5999999999999999E-3</v>
      </c>
      <c r="G52" s="64">
        <f>+$F$18+G46</f>
        <v>4024800</v>
      </c>
      <c r="H52" s="73">
        <f t="shared" ref="H52:H59" si="16">G52*F52</f>
        <v>14489.279999999999</v>
      </c>
      <c r="I52" s="27"/>
      <c r="J52" s="72">
        <f>F52</f>
        <v>3.5999999999999999E-3</v>
      </c>
      <c r="K52" s="64">
        <f>+$F$18+K46</f>
        <v>4024800</v>
      </c>
      <c r="L52" s="73">
        <f t="shared" ref="L52:L59" si="17">K52*J52</f>
        <v>14489.279999999999</v>
      </c>
      <c r="M52" s="27"/>
      <c r="N52" s="30">
        <f t="shared" si="15"/>
        <v>0</v>
      </c>
      <c r="O52" s="74">
        <f t="shared" si="10"/>
        <v>0</v>
      </c>
      <c r="Q52" s="107"/>
      <c r="S52" s="107"/>
      <c r="U52" s="107"/>
      <c r="W52" s="107"/>
    </row>
    <row r="53" spans="2:23" ht="25.5" x14ac:dyDescent="0.2">
      <c r="B53" s="71" t="s">
        <v>34</v>
      </c>
      <c r="C53" s="21"/>
      <c r="D53" s="22" t="s">
        <v>21</v>
      </c>
      <c r="E53" s="23"/>
      <c r="F53" s="72">
        <f>'Proposed Rates'!D191</f>
        <v>1.2999999999999999E-3</v>
      </c>
      <c r="G53" s="64">
        <f>G52</f>
        <v>4024800</v>
      </c>
      <c r="H53" s="73">
        <f t="shared" si="16"/>
        <v>5232.24</v>
      </c>
      <c r="I53" s="27"/>
      <c r="J53" s="72">
        <f>F53</f>
        <v>1.2999999999999999E-3</v>
      </c>
      <c r="K53" s="64">
        <f>K52</f>
        <v>4024800</v>
      </c>
      <c r="L53" s="73">
        <f t="shared" si="17"/>
        <v>5232.24</v>
      </c>
      <c r="M53" s="27"/>
      <c r="N53" s="30">
        <f t="shared" si="15"/>
        <v>0</v>
      </c>
      <c r="O53" s="74">
        <f t="shared" si="10"/>
        <v>0</v>
      </c>
      <c r="Q53" s="107"/>
      <c r="S53" s="107"/>
      <c r="U53" s="107"/>
      <c r="W53" s="107"/>
    </row>
    <row r="54" spans="2:23" x14ac:dyDescent="0.2">
      <c r="B54" s="21" t="s">
        <v>35</v>
      </c>
      <c r="C54" s="21"/>
      <c r="D54" s="22" t="s">
        <v>18</v>
      </c>
      <c r="E54" s="23"/>
      <c r="F54" s="72">
        <f>'Proposed Rates'!D196</f>
        <v>0.25</v>
      </c>
      <c r="G54" s="25">
        <v>1</v>
      </c>
      <c r="H54" s="73">
        <f t="shared" si="16"/>
        <v>0.25</v>
      </c>
      <c r="I54" s="27"/>
      <c r="J54" s="72">
        <f>'Proposed Rates'!E196</f>
        <v>0.25</v>
      </c>
      <c r="K54" s="29">
        <v>1</v>
      </c>
      <c r="L54" s="73">
        <f t="shared" si="17"/>
        <v>0.25</v>
      </c>
      <c r="M54" s="27"/>
      <c r="N54" s="30">
        <f t="shared" si="15"/>
        <v>0</v>
      </c>
      <c r="O54" s="74">
        <f t="shared" si="10"/>
        <v>0</v>
      </c>
      <c r="Q54" s="107"/>
      <c r="S54" s="107"/>
      <c r="U54" s="107"/>
      <c r="W54" s="107"/>
    </row>
    <row r="55" spans="2:23" x14ac:dyDescent="0.2">
      <c r="B55" s="21" t="s">
        <v>122</v>
      </c>
      <c r="C55" s="21"/>
      <c r="D55" s="22"/>
      <c r="E55" s="23"/>
      <c r="F55" s="72">
        <f>'Proposed Rates'!D221</f>
        <v>1.1000000000000001E-3</v>
      </c>
      <c r="G55" s="64">
        <f>G53</f>
        <v>4024800</v>
      </c>
      <c r="H55" s="73">
        <f>G55*F55</f>
        <v>4427.2800000000007</v>
      </c>
      <c r="I55" s="27"/>
      <c r="J55" s="72">
        <f>F55</f>
        <v>1.1000000000000001E-3</v>
      </c>
      <c r="K55" s="64">
        <f>K53</f>
        <v>4024800</v>
      </c>
      <c r="L55" s="73">
        <f>K55*J55</f>
        <v>4427.2800000000007</v>
      </c>
      <c r="M55" s="27"/>
      <c r="N55" s="30"/>
      <c r="O55" s="74"/>
      <c r="Q55" s="107"/>
      <c r="S55" s="107"/>
      <c r="U55" s="107"/>
      <c r="W55" s="107"/>
    </row>
    <row r="56" spans="2:23" x14ac:dyDescent="0.2">
      <c r="B56" s="21" t="s">
        <v>36</v>
      </c>
      <c r="C56" s="21"/>
      <c r="D56" s="22"/>
      <c r="E56" s="23"/>
      <c r="F56" s="72">
        <f>'Proposed Rates'!D216</f>
        <v>6.94E-3</v>
      </c>
      <c r="G56" s="75">
        <f>$F$18</f>
        <v>4000000</v>
      </c>
      <c r="H56" s="73">
        <f t="shared" si="16"/>
        <v>27760</v>
      </c>
      <c r="I56" s="27"/>
      <c r="J56" s="72">
        <f>+F56</f>
        <v>6.94E-3</v>
      </c>
      <c r="K56" s="76">
        <f>$F$18</f>
        <v>4000000</v>
      </c>
      <c r="L56" s="73">
        <f t="shared" si="17"/>
        <v>27760</v>
      </c>
      <c r="M56" s="27"/>
      <c r="N56" s="30">
        <f t="shared" si="15"/>
        <v>0</v>
      </c>
      <c r="O56" s="74">
        <f t="shared" si="10"/>
        <v>0</v>
      </c>
      <c r="Q56" s="107"/>
      <c r="S56" s="107"/>
      <c r="U56" s="107"/>
      <c r="W56" s="107"/>
    </row>
    <row r="57" spans="2:23" x14ac:dyDescent="0.2">
      <c r="B57" s="49" t="s">
        <v>37</v>
      </c>
      <c r="C57" s="21"/>
      <c r="D57" s="22"/>
      <c r="E57" s="23"/>
      <c r="F57" s="72">
        <f>'Proposed Rates'!D226</f>
        <v>8.6999999999999994E-2</v>
      </c>
      <c r="G57" s="77">
        <f>0.65*$F$18</f>
        <v>2600000</v>
      </c>
      <c r="H57" s="73">
        <f t="shared" si="16"/>
        <v>226199.99999999997</v>
      </c>
      <c r="I57" s="27"/>
      <c r="J57" s="72">
        <f>F57</f>
        <v>8.6999999999999994E-2</v>
      </c>
      <c r="K57" s="77">
        <f>$G$57</f>
        <v>2600000</v>
      </c>
      <c r="L57" s="73">
        <f t="shared" si="17"/>
        <v>226199.99999999997</v>
      </c>
      <c r="M57" s="27"/>
      <c r="N57" s="30">
        <f t="shared" si="15"/>
        <v>0</v>
      </c>
      <c r="O57" s="74">
        <f t="shared" si="10"/>
        <v>0</v>
      </c>
      <c r="Q57" s="107"/>
      <c r="S57" s="107"/>
      <c r="U57" s="107"/>
      <c r="W57" s="107"/>
    </row>
    <row r="58" spans="2:23" x14ac:dyDescent="0.2">
      <c r="B58" s="49" t="s">
        <v>38</v>
      </c>
      <c r="C58" s="21"/>
      <c r="D58" s="22"/>
      <c r="E58" s="23"/>
      <c r="F58" s="72">
        <f>'Proposed Rates'!D227</f>
        <v>0.13200000000000001</v>
      </c>
      <c r="G58" s="77">
        <f>0.17*$F$18</f>
        <v>680000</v>
      </c>
      <c r="H58" s="73">
        <f t="shared" si="16"/>
        <v>89760</v>
      </c>
      <c r="I58" s="27"/>
      <c r="J58" s="72">
        <f>F58</f>
        <v>0.13200000000000001</v>
      </c>
      <c r="K58" s="77">
        <f>$G$58</f>
        <v>680000</v>
      </c>
      <c r="L58" s="73">
        <f t="shared" si="17"/>
        <v>89760</v>
      </c>
      <c r="M58" s="27"/>
      <c r="N58" s="30">
        <f t="shared" si="15"/>
        <v>0</v>
      </c>
      <c r="O58" s="74">
        <f t="shared" si="10"/>
        <v>0</v>
      </c>
      <c r="Q58" s="107"/>
      <c r="S58" s="107"/>
      <c r="U58" s="107"/>
      <c r="W58" s="107"/>
    </row>
    <row r="59" spans="2:23" x14ac:dyDescent="0.2">
      <c r="B59" s="11" t="s">
        <v>39</v>
      </c>
      <c r="C59" s="21"/>
      <c r="D59" s="22"/>
      <c r="E59" s="23"/>
      <c r="F59" s="72">
        <f>'Proposed Rates'!D228</f>
        <v>0.18</v>
      </c>
      <c r="G59" s="77">
        <f>0.18*$F$18</f>
        <v>720000</v>
      </c>
      <c r="H59" s="73">
        <f t="shared" si="16"/>
        <v>129600</v>
      </c>
      <c r="I59" s="27"/>
      <c r="J59" s="72">
        <f>F59</f>
        <v>0.18</v>
      </c>
      <c r="K59" s="77">
        <f>$G$59</f>
        <v>720000</v>
      </c>
      <c r="L59" s="73">
        <f t="shared" si="17"/>
        <v>129600</v>
      </c>
      <c r="M59" s="27"/>
      <c r="N59" s="30">
        <f t="shared" si="15"/>
        <v>0</v>
      </c>
      <c r="O59" s="74">
        <f t="shared" si="10"/>
        <v>0</v>
      </c>
      <c r="Q59" s="107"/>
      <c r="S59" s="107"/>
      <c r="U59" s="107"/>
      <c r="W59" s="107"/>
    </row>
    <row r="60" spans="2:23" s="85" customFormat="1" x14ac:dyDescent="0.2">
      <c r="B60" s="78" t="s">
        <v>40</v>
      </c>
      <c r="C60" s="79"/>
      <c r="D60" s="80"/>
      <c r="E60" s="81"/>
      <c r="F60" s="72">
        <f>'Proposed Rates'!D229</f>
        <v>0.10299999999999999</v>
      </c>
      <c r="G60" s="82">
        <v>750</v>
      </c>
      <c r="H60" s="73">
        <f>G60*F60</f>
        <v>77.25</v>
      </c>
      <c r="I60" s="83"/>
      <c r="J60" s="72">
        <f>F60</f>
        <v>0.10299999999999999</v>
      </c>
      <c r="K60" s="82">
        <f>$G$60</f>
        <v>750</v>
      </c>
      <c r="L60" s="73">
        <f>K60*J60</f>
        <v>77.25</v>
      </c>
      <c r="M60" s="83"/>
      <c r="N60" s="84">
        <f t="shared" si="15"/>
        <v>0</v>
      </c>
      <c r="O60" s="74">
        <f t="shared" si="10"/>
        <v>0</v>
      </c>
      <c r="Q60" s="143"/>
      <c r="R60" s="212"/>
      <c r="S60" s="143"/>
      <c r="T60" s="212"/>
      <c r="U60" s="143"/>
      <c r="V60" s="212"/>
      <c r="W60" s="143"/>
    </row>
    <row r="61" spans="2:23" s="85" customFormat="1" ht="13.5" thickBot="1" x14ac:dyDescent="0.25">
      <c r="B61" s="78" t="s">
        <v>41</v>
      </c>
      <c r="C61" s="79"/>
      <c r="D61" s="80"/>
      <c r="E61" s="81"/>
      <c r="F61" s="72">
        <f>'Proposed Rates'!D230</f>
        <v>0.121</v>
      </c>
      <c r="G61" s="82">
        <f>F18-G60</f>
        <v>3999250</v>
      </c>
      <c r="H61" s="73">
        <f>G61*F61</f>
        <v>483909.25</v>
      </c>
      <c r="I61" s="83"/>
      <c r="J61" s="72">
        <f>F61</f>
        <v>0.121</v>
      </c>
      <c r="K61" s="82">
        <f>$G$61</f>
        <v>3999250</v>
      </c>
      <c r="L61" s="73">
        <f>K61*J61</f>
        <v>483909.25</v>
      </c>
      <c r="M61" s="83"/>
      <c r="N61" s="84">
        <f t="shared" si="15"/>
        <v>0</v>
      </c>
      <c r="O61" s="74">
        <f t="shared" si="10"/>
        <v>0</v>
      </c>
      <c r="Q61" s="143"/>
      <c r="R61" s="212"/>
      <c r="S61" s="143"/>
      <c r="T61" s="212"/>
      <c r="U61" s="143"/>
      <c r="V61" s="212"/>
      <c r="W61" s="143"/>
    </row>
    <row r="62" spans="2:23" ht="8.25" customHeight="1" thickBot="1" x14ac:dyDescent="0.25">
      <c r="B62" s="86"/>
      <c r="C62" s="87"/>
      <c r="D62" s="88"/>
      <c r="E62" s="87"/>
      <c r="F62" s="89"/>
      <c r="G62" s="90"/>
      <c r="H62" s="91"/>
      <c r="I62" s="92"/>
      <c r="J62" s="89"/>
      <c r="K62" s="93"/>
      <c r="L62" s="91"/>
      <c r="M62" s="92"/>
      <c r="N62" s="94"/>
      <c r="O62" s="95"/>
      <c r="Q62" s="107"/>
      <c r="S62" s="107"/>
      <c r="U62" s="107"/>
      <c r="W62" s="107"/>
    </row>
    <row r="63" spans="2:23" x14ac:dyDescent="0.2">
      <c r="B63" s="96" t="s">
        <v>42</v>
      </c>
      <c r="C63" s="21"/>
      <c r="D63" s="21"/>
      <c r="E63" s="21"/>
      <c r="F63" s="97"/>
      <c r="G63" s="98"/>
      <c r="H63" s="99">
        <f>SUM(H52:H59,H51)</f>
        <v>583518.35699999996</v>
      </c>
      <c r="I63" s="100"/>
      <c r="J63" s="101"/>
      <c r="K63" s="101"/>
      <c r="L63" s="99">
        <f>SUM(L52:L59,L51)</f>
        <v>567385.19200000004</v>
      </c>
      <c r="M63" s="102"/>
      <c r="N63" s="103">
        <f t="shared" ref="N63" si="18">L63-H63</f>
        <v>-16133.164999999921</v>
      </c>
      <c r="O63" s="104">
        <f t="shared" ref="O63" si="19">IF((H63)=0,"",(N63/H63))</f>
        <v>-2.7648084771392929E-2</v>
      </c>
      <c r="Q63" s="102"/>
      <c r="S63" s="102"/>
      <c r="U63" s="102"/>
      <c r="W63" s="102"/>
    </row>
    <row r="64" spans="2:23" x14ac:dyDescent="0.2">
      <c r="B64" s="105" t="s">
        <v>43</v>
      </c>
      <c r="C64" s="21"/>
      <c r="D64" s="21"/>
      <c r="E64" s="21"/>
      <c r="F64" s="106">
        <v>0.13</v>
      </c>
      <c r="G64" s="107"/>
      <c r="H64" s="108">
        <f>H63*F64</f>
        <v>75857.386409999992</v>
      </c>
      <c r="I64" s="109"/>
      <c r="J64" s="110">
        <v>0.13</v>
      </c>
      <c r="K64" s="109"/>
      <c r="L64" s="111">
        <f>L63*J64</f>
        <v>73760.074960000013</v>
      </c>
      <c r="M64" s="112"/>
      <c r="N64" s="113">
        <f t="shared" si="15"/>
        <v>-2097.3114499999792</v>
      </c>
      <c r="O64" s="114">
        <f t="shared" si="10"/>
        <v>-2.764808477139279E-2</v>
      </c>
      <c r="Q64" s="112"/>
      <c r="S64" s="112"/>
      <c r="U64" s="112"/>
      <c r="W64" s="112"/>
    </row>
    <row r="65" spans="1:23" ht="13.5" thickBot="1" x14ac:dyDescent="0.25">
      <c r="B65" s="115" t="s">
        <v>44</v>
      </c>
      <c r="C65" s="21"/>
      <c r="D65" s="21"/>
      <c r="E65" s="21"/>
      <c r="F65" s="116"/>
      <c r="G65" s="107"/>
      <c r="H65" s="99">
        <f>H63+H64</f>
        <v>659375.74341</v>
      </c>
      <c r="I65" s="109"/>
      <c r="J65" s="109"/>
      <c r="K65" s="109"/>
      <c r="L65" s="220">
        <f>L63+L64</f>
        <v>641145.26696000004</v>
      </c>
      <c r="M65" s="112"/>
      <c r="N65" s="103">
        <f t="shared" si="15"/>
        <v>-18230.476449999958</v>
      </c>
      <c r="O65" s="104">
        <f t="shared" si="10"/>
        <v>-2.7648084771392998E-2</v>
      </c>
      <c r="Q65" s="112"/>
      <c r="S65" s="112"/>
      <c r="U65" s="112"/>
      <c r="W65" s="112"/>
    </row>
    <row r="66" spans="1:23" s="85" customFormat="1" ht="8.25" customHeight="1" thickBot="1" x14ac:dyDescent="0.25">
      <c r="B66" s="117"/>
      <c r="C66" s="118"/>
      <c r="D66" s="119"/>
      <c r="E66" s="118"/>
      <c r="F66" s="89"/>
      <c r="G66" s="120"/>
      <c r="H66" s="91"/>
      <c r="I66" s="121"/>
      <c r="J66" s="89"/>
      <c r="K66" s="122"/>
      <c r="L66" s="91"/>
      <c r="M66" s="121"/>
      <c r="N66" s="123"/>
      <c r="O66" s="95"/>
      <c r="Q66" s="143"/>
      <c r="R66" s="212"/>
      <c r="S66" s="143"/>
      <c r="T66" s="212"/>
      <c r="U66" s="143"/>
      <c r="V66" s="212"/>
      <c r="W66" s="143"/>
    </row>
    <row r="67" spans="1:23" s="85" customFormat="1" x14ac:dyDescent="0.2">
      <c r="B67" s="124" t="s">
        <v>45</v>
      </c>
      <c r="C67" s="79"/>
      <c r="D67" s="79"/>
      <c r="E67" s="79"/>
      <c r="F67" s="125"/>
      <c r="G67" s="126"/>
      <c r="H67" s="127">
        <f>SUM(H60:H61,H51,H52:H56)</f>
        <v>621944.85700000008</v>
      </c>
      <c r="I67" s="128"/>
      <c r="J67" s="129"/>
      <c r="K67" s="129"/>
      <c r="L67" s="127">
        <f>SUM(L60:L61,L51,L52:L56)</f>
        <v>605811.69200000004</v>
      </c>
      <c r="M67" s="130"/>
      <c r="N67" s="131">
        <f t="shared" ref="N67:N69" si="20">L67-H67</f>
        <v>-16133.165000000037</v>
      </c>
      <c r="O67" s="104">
        <f t="shared" ref="O67:O69" si="21">IF((H67)=0,"",(N67/H67))</f>
        <v>-2.5939863990225159E-2</v>
      </c>
      <c r="Q67" s="130"/>
      <c r="R67" s="212"/>
      <c r="S67" s="130"/>
      <c r="T67" s="212"/>
      <c r="U67" s="130"/>
      <c r="V67" s="212"/>
      <c r="W67" s="130"/>
    </row>
    <row r="68" spans="1:23" s="85" customFormat="1" x14ac:dyDescent="0.2">
      <c r="B68" s="132" t="s">
        <v>43</v>
      </c>
      <c r="C68" s="79"/>
      <c r="D68" s="79"/>
      <c r="E68" s="79"/>
      <c r="F68" s="133">
        <v>0.13</v>
      </c>
      <c r="G68" s="126"/>
      <c r="H68" s="134">
        <f>H67*F68</f>
        <v>80852.831410000013</v>
      </c>
      <c r="I68" s="135"/>
      <c r="J68" s="136">
        <v>0.13</v>
      </c>
      <c r="K68" s="137"/>
      <c r="L68" s="138">
        <f>L67*J68</f>
        <v>78755.519960000005</v>
      </c>
      <c r="M68" s="139"/>
      <c r="N68" s="140">
        <f t="shared" si="20"/>
        <v>-2097.3114500000083</v>
      </c>
      <c r="O68" s="114">
        <f t="shared" si="21"/>
        <v>-2.5939863990225201E-2</v>
      </c>
      <c r="Q68" s="139"/>
      <c r="R68" s="212"/>
      <c r="S68" s="139"/>
      <c r="T68" s="212"/>
      <c r="U68" s="139"/>
      <c r="V68" s="212"/>
      <c r="W68" s="139"/>
    </row>
    <row r="69" spans="1:23" s="85" customFormat="1" ht="13.5" thickBot="1" x14ac:dyDescent="0.25">
      <c r="B69" s="141" t="s">
        <v>44</v>
      </c>
      <c r="C69" s="79"/>
      <c r="D69" s="79"/>
      <c r="E69" s="79"/>
      <c r="F69" s="142"/>
      <c r="G69" s="143"/>
      <c r="H69" s="127">
        <f>H67+H68</f>
        <v>702797.68841000006</v>
      </c>
      <c r="I69" s="135"/>
      <c r="J69" s="135"/>
      <c r="K69" s="135"/>
      <c r="L69" s="219">
        <f>L67+L68</f>
        <v>684567.21195999999</v>
      </c>
      <c r="M69" s="139"/>
      <c r="N69" s="131">
        <f t="shared" si="20"/>
        <v>-18230.476450000075</v>
      </c>
      <c r="O69" s="104">
        <f t="shared" si="21"/>
        <v>-2.5939863990225204E-2</v>
      </c>
      <c r="Q69" s="139"/>
      <c r="R69" s="212"/>
      <c r="S69" s="139"/>
      <c r="T69" s="212"/>
      <c r="U69" s="139"/>
      <c r="V69" s="212"/>
      <c r="W69" s="139"/>
    </row>
    <row r="70" spans="1:23" s="85" customFormat="1" ht="8.25" customHeight="1" thickBot="1" x14ac:dyDescent="0.25">
      <c r="B70" s="117"/>
      <c r="C70" s="118"/>
      <c r="D70" s="119"/>
      <c r="E70" s="118"/>
      <c r="F70" s="144"/>
      <c r="G70" s="145"/>
      <c r="H70" s="146"/>
      <c r="I70" s="147"/>
      <c r="J70" s="144"/>
      <c r="K70" s="120"/>
      <c r="L70" s="148"/>
      <c r="M70" s="121"/>
      <c r="N70" s="149"/>
      <c r="O70" s="95"/>
      <c r="Q70" s="143"/>
      <c r="R70" s="212"/>
      <c r="S70" s="143"/>
      <c r="T70" s="212"/>
      <c r="U70" s="143"/>
      <c r="V70" s="212"/>
      <c r="W70" s="143"/>
    </row>
    <row r="71" spans="1:23" x14ac:dyDescent="0.2">
      <c r="L71" s="150"/>
    </row>
    <row r="72" spans="1:23" x14ac:dyDescent="0.2">
      <c r="B72" s="12" t="s">
        <v>46</v>
      </c>
      <c r="F72" s="151">
        <f>'Proposed Rates'!D205</f>
        <v>6.1999999999999998E-3</v>
      </c>
      <c r="J72" s="151">
        <f>'Proposed Rates'!E205</f>
        <v>6.1999999999999998E-3</v>
      </c>
    </row>
    <row r="73" spans="1:23" ht="13.5" thickBot="1" x14ac:dyDescent="0.25"/>
    <row r="74" spans="1:23" ht="8.25" customHeight="1" thickBot="1" x14ac:dyDescent="0.25">
      <c r="B74" s="86"/>
      <c r="C74" s="87"/>
      <c r="D74" s="88"/>
      <c r="E74" s="87"/>
      <c r="F74" s="89"/>
      <c r="G74" s="90"/>
      <c r="H74" s="91"/>
      <c r="I74" s="92"/>
      <c r="J74" s="89"/>
      <c r="K74" s="93"/>
      <c r="L74" s="91"/>
      <c r="M74" s="92"/>
      <c r="N74" s="94"/>
      <c r="O74" s="95"/>
      <c r="Q74" s="107"/>
      <c r="S74" s="107"/>
      <c r="U74" s="107"/>
      <c r="W74" s="107"/>
    </row>
    <row r="75" spans="1:23" x14ac:dyDescent="0.2">
      <c r="B75" s="96" t="s">
        <v>42</v>
      </c>
      <c r="C75" s="21"/>
      <c r="D75" s="21"/>
      <c r="E75" s="21"/>
      <c r="F75" s="97"/>
      <c r="G75" s="98"/>
      <c r="H75" s="99">
        <f>+H63-H31-H40-H41-H42-H43</f>
        <v>582930.59199999995</v>
      </c>
      <c r="I75" s="100"/>
      <c r="J75" s="101"/>
      <c r="K75" s="101"/>
      <c r="L75" s="99">
        <f>+L63-L31-L40-L41-L42-L43</f>
        <v>585268.94200000004</v>
      </c>
      <c r="M75" s="102"/>
      <c r="N75" s="103">
        <f t="shared" ref="N75:N77" si="22">L75-H75</f>
        <v>2338.3500000000931</v>
      </c>
      <c r="O75" s="104">
        <f t="shared" ref="O75:O77" si="23">IF((H75)=0,"",(N75/H75))</f>
        <v>4.0113695045191477E-3</v>
      </c>
      <c r="Q75" s="102"/>
      <c r="S75" s="102"/>
      <c r="U75" s="102"/>
      <c r="W75" s="102"/>
    </row>
    <row r="76" spans="1:23" x14ac:dyDescent="0.2">
      <c r="B76" s="105" t="s">
        <v>43</v>
      </c>
      <c r="C76" s="21"/>
      <c r="D76" s="21"/>
      <c r="E76" s="21"/>
      <c r="F76" s="106">
        <v>0.13</v>
      </c>
      <c r="G76" s="107"/>
      <c r="H76" s="108">
        <f>H75*F76</f>
        <v>75780.97696</v>
      </c>
      <c r="I76" s="109"/>
      <c r="J76" s="110">
        <v>0.13</v>
      </c>
      <c r="K76" s="109"/>
      <c r="L76" s="111">
        <f>L75*J76</f>
        <v>76084.96246000001</v>
      </c>
      <c r="M76" s="112"/>
      <c r="N76" s="113">
        <f t="shared" si="22"/>
        <v>303.98550000000978</v>
      </c>
      <c r="O76" s="114">
        <f t="shared" si="23"/>
        <v>4.0113695045191165E-3</v>
      </c>
      <c r="Q76" s="112"/>
      <c r="S76" s="112"/>
      <c r="U76" s="112"/>
      <c r="W76" s="112"/>
    </row>
    <row r="77" spans="1:23" x14ac:dyDescent="0.2">
      <c r="B77" s="115" t="s">
        <v>44</v>
      </c>
      <c r="C77" s="21"/>
      <c r="D77" s="21"/>
      <c r="E77" s="21"/>
      <c r="F77" s="213"/>
      <c r="G77" s="214"/>
      <c r="H77" s="225">
        <f>H75+H76</f>
        <v>658711.56895999995</v>
      </c>
      <c r="I77" s="215"/>
      <c r="J77" s="215"/>
      <c r="K77" s="215"/>
      <c r="L77" s="224">
        <f>L75+L76</f>
        <v>661353.90446000011</v>
      </c>
      <c r="M77" s="216"/>
      <c r="N77" s="223">
        <f t="shared" si="22"/>
        <v>2642.3355000001611</v>
      </c>
      <c r="O77" s="222">
        <f t="shared" si="23"/>
        <v>4.0113695045192327E-3</v>
      </c>
      <c r="Q77" s="112"/>
      <c r="S77" s="112"/>
      <c r="U77" s="112"/>
      <c r="W77" s="112"/>
    </row>
    <row r="78" spans="1:23" ht="13.5" customHeight="1" x14ac:dyDescent="0.2">
      <c r="Q78" s="210"/>
      <c r="R78" s="210"/>
      <c r="S78" s="6"/>
      <c r="T78" s="6"/>
      <c r="U78" s="6"/>
      <c r="V78" s="6"/>
      <c r="W78" s="6"/>
    </row>
    <row r="79" spans="1:23" ht="12" customHeight="1" x14ac:dyDescent="0.2">
      <c r="A79" s="6" t="s">
        <v>47</v>
      </c>
      <c r="Q79" s="210"/>
      <c r="R79" s="210"/>
      <c r="S79" s="6"/>
      <c r="T79" s="6"/>
      <c r="U79" s="6"/>
      <c r="V79" s="6"/>
      <c r="W79" s="6"/>
    </row>
    <row r="80" spans="1:23" x14ac:dyDescent="0.2">
      <c r="A80" s="6" t="s">
        <v>48</v>
      </c>
      <c r="Q80" s="210"/>
      <c r="R80" s="210"/>
      <c r="S80" s="6"/>
      <c r="T80" s="6"/>
      <c r="U80" s="6"/>
      <c r="V80" s="6"/>
      <c r="W80" s="6"/>
    </row>
    <row r="81" spans="1:23" x14ac:dyDescent="0.2">
      <c r="Q81" s="210"/>
      <c r="R81" s="210"/>
      <c r="S81" s="6"/>
      <c r="T81" s="6"/>
      <c r="U81" s="6"/>
      <c r="V81" s="6"/>
      <c r="W81" s="6"/>
    </row>
    <row r="82" spans="1:23" x14ac:dyDescent="0.2">
      <c r="A82" s="153" t="s">
        <v>136</v>
      </c>
      <c r="Q82" s="210"/>
      <c r="R82" s="210"/>
      <c r="S82" s="6"/>
      <c r="T82" s="6"/>
      <c r="U82" s="6"/>
      <c r="V82" s="6"/>
      <c r="W82" s="6"/>
    </row>
    <row r="83" spans="1:23" x14ac:dyDescent="0.2">
      <c r="A83" s="11" t="s">
        <v>49</v>
      </c>
      <c r="Q83" s="210"/>
      <c r="R83" s="210"/>
      <c r="S83" s="6"/>
      <c r="T83" s="6"/>
      <c r="U83" s="6"/>
      <c r="V83" s="6"/>
      <c r="W83" s="6"/>
    </row>
    <row r="84" spans="1:23" x14ac:dyDescent="0.2">
      <c r="Q84" s="210"/>
      <c r="R84" s="210"/>
      <c r="S84" s="6"/>
      <c r="T84" s="6"/>
      <c r="U84" s="6"/>
      <c r="V84" s="6"/>
      <c r="W84" s="6"/>
    </row>
    <row r="85" spans="1:23" x14ac:dyDescent="0.2">
      <c r="A85" s="6" t="s">
        <v>135</v>
      </c>
      <c r="Q85" s="210"/>
      <c r="R85" s="210"/>
      <c r="S85" s="6"/>
      <c r="T85" s="6"/>
      <c r="U85" s="6"/>
      <c r="V85" s="6"/>
      <c r="W85" s="6"/>
    </row>
    <row r="86" spans="1:23" x14ac:dyDescent="0.2">
      <c r="A86" s="6" t="s">
        <v>50</v>
      </c>
      <c r="Q86" s="210"/>
      <c r="R86" s="210"/>
      <c r="S86" s="6"/>
      <c r="T86" s="6"/>
      <c r="U86" s="6"/>
      <c r="V86" s="6"/>
      <c r="W86" s="6"/>
    </row>
    <row r="87" spans="1:23" x14ac:dyDescent="0.2">
      <c r="A87" s="6" t="s">
        <v>51</v>
      </c>
      <c r="Q87" s="210"/>
      <c r="R87" s="210"/>
      <c r="S87" s="6"/>
      <c r="T87" s="6"/>
      <c r="U87" s="6"/>
      <c r="V87" s="6"/>
      <c r="W87" s="6"/>
    </row>
    <row r="88" spans="1:23" x14ac:dyDescent="0.2">
      <c r="A88" s="6" t="s">
        <v>52</v>
      </c>
      <c r="Q88" s="210"/>
      <c r="R88" s="210"/>
      <c r="S88" s="6"/>
      <c r="T88" s="6"/>
      <c r="U88" s="6"/>
      <c r="V88" s="6"/>
      <c r="W88" s="6"/>
    </row>
    <row r="89" spans="1:23" x14ac:dyDescent="0.2">
      <c r="A89" s="6" t="s">
        <v>53</v>
      </c>
      <c r="Q89" s="210"/>
      <c r="R89" s="210"/>
      <c r="S89" s="6"/>
      <c r="T89" s="6"/>
      <c r="U89" s="6"/>
      <c r="V89" s="6"/>
      <c r="W89" s="6"/>
    </row>
    <row r="90" spans="1:23" x14ac:dyDescent="0.2">
      <c r="Q90" s="210"/>
      <c r="R90" s="210"/>
      <c r="S90" s="6"/>
      <c r="T90" s="6"/>
      <c r="U90" s="6"/>
      <c r="V90" s="6"/>
      <c r="W90" s="6"/>
    </row>
    <row r="91" spans="1:23" x14ac:dyDescent="0.2">
      <c r="A91" s="152"/>
      <c r="B91" s="6" t="s">
        <v>54</v>
      </c>
      <c r="Q91" s="210"/>
      <c r="R91" s="210"/>
      <c r="S91" s="6"/>
      <c r="T91" s="6"/>
      <c r="U91" s="6"/>
      <c r="V91" s="6"/>
      <c r="W91" s="6"/>
    </row>
    <row r="92" spans="1:23" x14ac:dyDescent="0.2">
      <c r="Q92" s="210"/>
      <c r="R92" s="210"/>
      <c r="S92" s="6"/>
      <c r="T92" s="6"/>
      <c r="U92" s="6"/>
      <c r="V92" s="6"/>
      <c r="W92" s="6"/>
    </row>
    <row r="93" spans="1:23" x14ac:dyDescent="0.2">
      <c r="B93" s="153" t="s">
        <v>55</v>
      </c>
      <c r="Q93" s="210"/>
      <c r="R93" s="210"/>
      <c r="S93" s="6"/>
      <c r="T93" s="6"/>
      <c r="U93" s="6"/>
      <c r="V93" s="6"/>
      <c r="W93"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0 D66 D23:D38 D52:D62 D74 D49:D50 D40:D47">
      <formula1>"Monthly, per kWh, per kW"</formula1>
    </dataValidation>
    <dataValidation type="list" allowBlank="1" showInputMessage="1" showErrorMessage="1" sqref="E49:E50 E70 E66 E52:E62 E23:E38 E40:E47 E74">
      <formula1>#REF!</formula1>
    </dataValidation>
  </dataValidations>
  <pageMargins left="0.74803149606299213" right="0.74803149606299213" top="0.98425196850393704" bottom="0.98425196850393704" header="0.51181102362204722" footer="0.51181102362204722"/>
  <pageSetup scale="55" fitToWidth="2"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6</xdr:col>
                    <xdr:colOff>466725</xdr:colOff>
                    <xdr:row>16</xdr:row>
                    <xdr:rowOff>190500</xdr:rowOff>
                  </from>
                  <to>
                    <xdr:col>9</xdr:col>
                    <xdr:colOff>76200</xdr:colOff>
                    <xdr:row>18</xdr:row>
                    <xdr:rowOff>47625</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9</xdr:col>
                    <xdr:colOff>352425</xdr:colOff>
                    <xdr:row>16</xdr:row>
                    <xdr:rowOff>133350</xdr:rowOff>
                  </from>
                  <to>
                    <xdr:col>14</xdr:col>
                    <xdr:colOff>409575</xdr:colOff>
                    <xdr:row>18</xdr:row>
                    <xdr:rowOff>152400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W89"/>
  <sheetViews>
    <sheetView showGridLines="0" view="pageBreakPreview" zoomScale="70" zoomScaleNormal="85" zoomScaleSheetLayoutView="70" workbookViewId="0">
      <selection activeCell="L26" sqref="L26"/>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5.7109375" style="6" customWidth="1"/>
    <col min="7" max="7" width="11" style="6" bestFit="1" customWidth="1"/>
    <col min="8" max="8" width="19.85546875" style="6" bestFit="1" customWidth="1"/>
    <col min="9" max="9" width="2.85546875" style="6" customWidth="1"/>
    <col min="10" max="10" width="11.85546875" style="6" bestFit="1" customWidth="1"/>
    <col min="11" max="11" width="11" style="6" bestFit="1" customWidth="1"/>
    <col min="12" max="12" width="19.85546875" style="6" bestFit="1" customWidth="1"/>
    <col min="13" max="13" width="2.85546875" style="6" customWidth="1"/>
    <col min="14" max="14" width="20.140625" style="6" bestFit="1" customWidth="1"/>
    <col min="15" max="15" width="12.28515625" style="6" bestFit="1" customWidth="1"/>
    <col min="16" max="16" width="3.85546875" style="6" customWidth="1"/>
    <col min="17" max="17" width="2.28515625" style="211" bestFit="1" customWidth="1"/>
    <col min="18" max="18" width="4.5703125" style="211" customWidth="1"/>
    <col min="19" max="19" width="2.28515625" style="211" bestFit="1" customWidth="1"/>
    <col min="20" max="20" width="4.5703125" style="211" customWidth="1"/>
    <col min="21" max="21" width="2.28515625" style="211" bestFit="1" customWidth="1"/>
    <col min="22" max="22" width="4.5703125" style="211" customWidth="1"/>
    <col min="23" max="23" width="2.28515625" style="211" bestFit="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62</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4000000</v>
      </c>
      <c r="G18" s="12" t="s">
        <v>6</v>
      </c>
    </row>
    <row r="19" spans="2:23" x14ac:dyDescent="0.2">
      <c r="B19" s="11"/>
      <c r="F19" s="13">
        <v>10000</v>
      </c>
      <c r="G19" s="6" t="s">
        <v>58</v>
      </c>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156">
        <f>+'LU(7500)'!F23</f>
        <v>15231.32</v>
      </c>
      <c r="G23" s="25">
        <v>1</v>
      </c>
      <c r="H23" s="26">
        <f>G23*F23</f>
        <v>15231.32</v>
      </c>
      <c r="I23" s="27"/>
      <c r="J23" s="156">
        <f>+'LU(7500)'!J23</f>
        <v>15231.32</v>
      </c>
      <c r="K23" s="29">
        <v>1</v>
      </c>
      <c r="L23" s="26">
        <f>K23*J23</f>
        <v>15231.32</v>
      </c>
      <c r="M23" s="27"/>
      <c r="N23" s="30">
        <f>L23-H23</f>
        <v>0</v>
      </c>
      <c r="O23" s="31">
        <f>IF((H23)=0,"",(N23/H23))</f>
        <v>0</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59</v>
      </c>
      <c r="E29" s="23"/>
      <c r="F29" s="24">
        <f>+'LU(7500)'!F29</f>
        <v>3.4742000000000002</v>
      </c>
      <c r="G29" s="51">
        <f>+$F$19</f>
        <v>10000</v>
      </c>
      <c r="H29" s="26">
        <f t="shared" si="0"/>
        <v>34742</v>
      </c>
      <c r="I29" s="27"/>
      <c r="J29" s="24">
        <f>+'LU(7500)'!J29</f>
        <v>3.7199</v>
      </c>
      <c r="K29" s="51">
        <f>+$F$19</f>
        <v>10000</v>
      </c>
      <c r="L29" s="26">
        <f t="shared" si="1"/>
        <v>37199</v>
      </c>
      <c r="M29" s="27"/>
      <c r="N29" s="30">
        <f t="shared" si="2"/>
        <v>2457</v>
      </c>
      <c r="O29" s="31">
        <f t="shared" si="3"/>
        <v>7.0721317137758338E-2</v>
      </c>
      <c r="Q29" s="107"/>
      <c r="S29" s="107"/>
      <c r="U29" s="107"/>
      <c r="W29" s="107"/>
    </row>
    <row r="30" spans="2:23" x14ac:dyDescent="0.2">
      <c r="B30" s="21" t="s">
        <v>22</v>
      </c>
      <c r="C30" s="21"/>
      <c r="D30" s="22"/>
      <c r="E30" s="23"/>
      <c r="F30" s="24"/>
      <c r="G30" s="25">
        <f t="shared" ref="G30" si="4">$F$18</f>
        <v>4000000</v>
      </c>
      <c r="H30" s="26">
        <f t="shared" si="0"/>
        <v>0</v>
      </c>
      <c r="I30" s="27"/>
      <c r="J30" s="24"/>
      <c r="K30" s="25">
        <f t="shared" ref="K30:K38" si="5">$F$18</f>
        <v>4000000</v>
      </c>
      <c r="L30" s="26">
        <f t="shared" si="1"/>
        <v>0</v>
      </c>
      <c r="M30" s="27"/>
      <c r="N30" s="30">
        <f t="shared" si="2"/>
        <v>0</v>
      </c>
      <c r="O30" s="31" t="str">
        <f t="shared" si="3"/>
        <v/>
      </c>
      <c r="Q30" s="107"/>
      <c r="S30" s="107"/>
      <c r="U30" s="107"/>
      <c r="W30" s="107"/>
    </row>
    <row r="31" spans="2:23" x14ac:dyDescent="0.2">
      <c r="B31" s="21" t="s">
        <v>23</v>
      </c>
      <c r="C31" s="21"/>
      <c r="D31" s="22" t="s">
        <v>59</v>
      </c>
      <c r="E31" s="23"/>
      <c r="F31" s="24">
        <f>+'LU(7500)'!F31</f>
        <v>-7.7109999999999998E-2</v>
      </c>
      <c r="G31" s="51">
        <f>+$F$19</f>
        <v>10000</v>
      </c>
      <c r="H31" s="26">
        <f t="shared" si="0"/>
        <v>-771.1</v>
      </c>
      <c r="I31" s="27"/>
      <c r="J31" s="24">
        <f>+'LU(7500)'!J31</f>
        <v>0</v>
      </c>
      <c r="K31" s="51">
        <f>+$F$19</f>
        <v>10000</v>
      </c>
      <c r="L31" s="26">
        <f t="shared" si="1"/>
        <v>0</v>
      </c>
      <c r="M31" s="27"/>
      <c r="N31" s="30">
        <f t="shared" si="2"/>
        <v>771.1</v>
      </c>
      <c r="O31" s="31">
        <f t="shared" si="3"/>
        <v>-1</v>
      </c>
      <c r="Q31" s="107"/>
      <c r="S31" s="107"/>
      <c r="U31" s="107"/>
      <c r="W31" s="107"/>
    </row>
    <row r="32" spans="2:23" x14ac:dyDescent="0.2">
      <c r="B32" s="33"/>
      <c r="C32" s="21"/>
      <c r="D32" s="22"/>
      <c r="E32" s="23"/>
      <c r="F32" s="24"/>
      <c r="G32" s="25">
        <f t="shared" ref="G32:G38" si="6">$F$18</f>
        <v>4000000</v>
      </c>
      <c r="H32" s="26">
        <f t="shared" si="0"/>
        <v>0</v>
      </c>
      <c r="I32" s="27"/>
      <c r="J32" s="28"/>
      <c r="K32" s="25">
        <f t="shared" si="5"/>
        <v>4000000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4000000</v>
      </c>
      <c r="H33" s="26">
        <f t="shared" si="0"/>
        <v>0</v>
      </c>
      <c r="I33" s="27"/>
      <c r="J33" s="28"/>
      <c r="K33" s="25">
        <f t="shared" si="5"/>
        <v>4000000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4000000</v>
      </c>
      <c r="H34" s="26">
        <f t="shared" si="0"/>
        <v>0</v>
      </c>
      <c r="I34" s="27"/>
      <c r="J34" s="28"/>
      <c r="K34" s="25">
        <f t="shared" si="5"/>
        <v>4000000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4000000</v>
      </c>
      <c r="H35" s="26">
        <f t="shared" si="0"/>
        <v>0</v>
      </c>
      <c r="I35" s="27"/>
      <c r="J35" s="28"/>
      <c r="K35" s="25">
        <f t="shared" si="5"/>
        <v>4000000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4000000</v>
      </c>
      <c r="H36" s="26">
        <f t="shared" si="0"/>
        <v>0</v>
      </c>
      <c r="I36" s="27"/>
      <c r="J36" s="28"/>
      <c r="K36" s="25">
        <f t="shared" si="5"/>
        <v>4000000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4000000</v>
      </c>
      <c r="H37" s="26">
        <f t="shared" si="0"/>
        <v>0</v>
      </c>
      <c r="I37" s="27"/>
      <c r="J37" s="28"/>
      <c r="K37" s="25">
        <f t="shared" si="5"/>
        <v>4000000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4000000</v>
      </c>
      <c r="H38" s="26">
        <f t="shared" si="0"/>
        <v>0</v>
      </c>
      <c r="I38" s="27"/>
      <c r="J38" s="28"/>
      <c r="K38" s="25">
        <f t="shared" si="5"/>
        <v>4000000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49202.22</v>
      </c>
      <c r="I39" s="40"/>
      <c r="J39" s="41"/>
      <c r="K39" s="42"/>
      <c r="L39" s="39">
        <f>SUM(L23:L38)</f>
        <v>52430.32</v>
      </c>
      <c r="M39" s="40"/>
      <c r="N39" s="43">
        <f t="shared" si="2"/>
        <v>3228.0999999999985</v>
      </c>
      <c r="O39" s="44">
        <f t="shared" si="3"/>
        <v>6.5608828219539658E-2</v>
      </c>
      <c r="Q39" s="107"/>
      <c r="R39" s="211"/>
      <c r="S39" s="107"/>
      <c r="T39" s="211"/>
      <c r="U39" s="107"/>
      <c r="V39" s="211"/>
      <c r="W39" s="107"/>
    </row>
    <row r="40" spans="2:23" ht="38.25" x14ac:dyDescent="0.2">
      <c r="B40" s="46" t="str">
        <f>+'LU(7500)'!B40</f>
        <v>Deferral/Variance Account Disposition Rate Rider Class 1</v>
      </c>
      <c r="C40" s="21"/>
      <c r="D40" s="22" t="str">
        <f>+'LU(7500)'!D40</f>
        <v>per kW</v>
      </c>
      <c r="E40" s="23"/>
      <c r="F40" s="24">
        <f>'Proposed Rates'!D42</f>
        <v>-0.46758</v>
      </c>
      <c r="G40" s="51">
        <f>+$F$19</f>
        <v>10000</v>
      </c>
      <c r="H40" s="26">
        <f>G40*F40</f>
        <v>-4675.8</v>
      </c>
      <c r="I40" s="27"/>
      <c r="J40" s="24">
        <f>+'LU(7500)'!J40</f>
        <v>1.54E-2</v>
      </c>
      <c r="K40" s="51">
        <f>+$F$19</f>
        <v>10000</v>
      </c>
      <c r="L40" s="26">
        <f>K40*J40</f>
        <v>154</v>
      </c>
      <c r="M40" s="27"/>
      <c r="N40" s="30">
        <f>L40-H40</f>
        <v>4829.8</v>
      </c>
      <c r="O40" s="31">
        <f>IF((H40)=0,"",(N40/H40))</f>
        <v>-1.0329355404422773</v>
      </c>
      <c r="Q40" s="107"/>
      <c r="S40" s="107"/>
      <c r="U40" s="107"/>
      <c r="W40" s="107"/>
    </row>
    <row r="41" spans="2:23" ht="38.25" x14ac:dyDescent="0.2">
      <c r="B41" s="46" t="str">
        <f>+'LU(7500)'!B41</f>
        <v>Deferral/Variance Account Disposition Rate Rider Class 2</v>
      </c>
      <c r="C41" s="21"/>
      <c r="D41" s="22" t="str">
        <f>+'LU(7500)'!D41</f>
        <v>per kW</v>
      </c>
      <c r="E41" s="23"/>
      <c r="F41" s="24">
        <f>'Proposed Rates'!D56</f>
        <v>-4.0820000000000002E-2</v>
      </c>
      <c r="G41" s="51">
        <f>+F19</f>
        <v>10000</v>
      </c>
      <c r="H41" s="26">
        <f t="shared" ref="H41:H46" si="7">G41*F41</f>
        <v>-408.20000000000005</v>
      </c>
      <c r="I41" s="47"/>
      <c r="J41" s="24">
        <f>+'LU(7500)'!J41</f>
        <v>1.7000000000000001E-2</v>
      </c>
      <c r="K41" s="51">
        <f>$G$41</f>
        <v>10000</v>
      </c>
      <c r="L41" s="26">
        <f t="shared" ref="L41:L46" si="8">K41*J41</f>
        <v>170</v>
      </c>
      <c r="M41" s="48"/>
      <c r="N41" s="30">
        <f t="shared" ref="N41:N46" si="9">L41-H41</f>
        <v>578.20000000000005</v>
      </c>
      <c r="O41" s="31">
        <f t="shared" ref="O41:O65" si="10">IF((H41)=0,"",(N41/H41))</f>
        <v>-1.4164625183733464</v>
      </c>
      <c r="Q41" s="107"/>
      <c r="S41" s="107"/>
      <c r="U41" s="107"/>
      <c r="W41" s="107"/>
    </row>
    <row r="42" spans="2:23" ht="38.25" x14ac:dyDescent="0.2">
      <c r="B42" s="46" t="str">
        <f>+'LU(7500)'!B42</f>
        <v xml:space="preserve">Deferral/Variance Account Disposition Rate Rider -  Global Adjustment </v>
      </c>
      <c r="C42" s="21"/>
      <c r="D42" s="22" t="s">
        <v>59</v>
      </c>
      <c r="E42" s="23"/>
      <c r="F42" s="24">
        <f>'Proposed Rates'!D85</f>
        <v>2.81E-3</v>
      </c>
      <c r="G42" s="25">
        <f t="shared" ref="G42" si="11">$F$18</f>
        <v>4000000</v>
      </c>
      <c r="H42" s="26">
        <f t="shared" si="7"/>
        <v>11240</v>
      </c>
      <c r="I42" s="47"/>
      <c r="J42" s="24">
        <f>+'LU(7500)'!J42</f>
        <v>-2.0999999999999999E-3</v>
      </c>
      <c r="K42" s="25">
        <f t="shared" ref="K42" si="12">$F$18</f>
        <v>4000000</v>
      </c>
      <c r="L42" s="26">
        <f t="shared" si="8"/>
        <v>-8400</v>
      </c>
      <c r="M42" s="48"/>
      <c r="N42" s="30">
        <f t="shared" si="9"/>
        <v>-19640</v>
      </c>
      <c r="O42" s="31">
        <f t="shared" si="10"/>
        <v>-1.7473309608540926</v>
      </c>
      <c r="Q42" s="107"/>
      <c r="S42" s="107"/>
      <c r="U42" s="107"/>
      <c r="W42" s="107"/>
    </row>
    <row r="43" spans="2:23" ht="38.25" x14ac:dyDescent="0.2">
      <c r="B43" s="46" t="str">
        <f>+'LU(7500)'!B43</f>
        <v>Deferral / Variance Accounts Balances (excluding Global Adj.) - NON-WMP</v>
      </c>
      <c r="C43" s="21"/>
      <c r="D43" s="22" t="s">
        <v>59</v>
      </c>
      <c r="E43" s="23"/>
      <c r="F43" s="24">
        <f>'Proposed Rates'!D101</f>
        <v>-0.83478799999999997</v>
      </c>
      <c r="G43" s="51">
        <f>$F$19</f>
        <v>10000</v>
      </c>
      <c r="H43" s="26">
        <f t="shared" si="7"/>
        <v>-8347.8799999999992</v>
      </c>
      <c r="I43" s="47"/>
      <c r="J43" s="28">
        <f>+'LU(7500)'!J43</f>
        <v>-1.2968999999999999</v>
      </c>
      <c r="K43" s="51">
        <f>$G$41</f>
        <v>10000</v>
      </c>
      <c r="L43" s="26">
        <f t="shared" si="8"/>
        <v>-12969</v>
      </c>
      <c r="M43" s="48"/>
      <c r="N43" s="30">
        <f t="shared" si="9"/>
        <v>-4621.1200000000008</v>
      </c>
      <c r="O43" s="31">
        <f t="shared" si="10"/>
        <v>0.553568091539409</v>
      </c>
      <c r="Q43" s="107"/>
      <c r="S43" s="107"/>
      <c r="U43" s="107"/>
      <c r="W43" s="107"/>
    </row>
    <row r="44" spans="2:23" ht="38.25" x14ac:dyDescent="0.2">
      <c r="B44" s="46" t="s">
        <v>128</v>
      </c>
      <c r="C44" s="21"/>
      <c r="D44" s="22" t="s">
        <v>21</v>
      </c>
      <c r="E44" s="23"/>
      <c r="F44" s="24">
        <f>+'LU(7500)'!F44</f>
        <v>0</v>
      </c>
      <c r="G44" s="25">
        <f t="shared" ref="G44" si="13">$F$18</f>
        <v>4000000</v>
      </c>
      <c r="H44" s="26">
        <f t="shared" si="7"/>
        <v>0</v>
      </c>
      <c r="I44" s="236"/>
      <c r="J44" s="233">
        <f>+'LU(7500)'!J44</f>
        <v>2.7E-4</v>
      </c>
      <c r="K44" s="25">
        <f t="shared" ref="K44" si="14">$F$18</f>
        <v>4000000</v>
      </c>
      <c r="L44" s="26">
        <f t="shared" si="8"/>
        <v>1080</v>
      </c>
      <c r="M44" s="236"/>
      <c r="N44" s="30">
        <f t="shared" si="9"/>
        <v>1080</v>
      </c>
      <c r="O44" s="31" t="str">
        <f t="shared" si="10"/>
        <v/>
      </c>
      <c r="Q44" s="107"/>
      <c r="S44" s="107"/>
      <c r="U44" s="107"/>
      <c r="W44" s="107"/>
    </row>
    <row r="45" spans="2:23" x14ac:dyDescent="0.2">
      <c r="B45" s="49" t="s">
        <v>26</v>
      </c>
      <c r="C45" s="21"/>
      <c r="D45" s="22" t="s">
        <v>59</v>
      </c>
      <c r="E45" s="23"/>
      <c r="F45" s="50">
        <f>'LU(7500)'!F45</f>
        <v>3.04E-2</v>
      </c>
      <c r="G45" s="51">
        <f>+$F$19</f>
        <v>10000</v>
      </c>
      <c r="H45" s="26">
        <f>G45*F45</f>
        <v>304</v>
      </c>
      <c r="I45" s="27"/>
      <c r="J45" s="52">
        <f>'LU(7500)'!J45</f>
        <v>3.168E-2</v>
      </c>
      <c r="K45" s="51">
        <f>+$F$19</f>
        <v>10000</v>
      </c>
      <c r="L45" s="26">
        <f>K45*J45</f>
        <v>316.8</v>
      </c>
      <c r="M45" s="27"/>
      <c r="N45" s="30">
        <f>L45-H45</f>
        <v>12.800000000000011</v>
      </c>
      <c r="O45" s="31">
        <f>IF((H45)=0,"",(N45/H45))</f>
        <v>4.2105263157894778E-2</v>
      </c>
      <c r="Q45" s="107"/>
      <c r="S45" s="107"/>
      <c r="U45" s="107"/>
      <c r="W45" s="107"/>
    </row>
    <row r="46" spans="2:23" x14ac:dyDescent="0.2">
      <c r="B46" s="49" t="s">
        <v>27</v>
      </c>
      <c r="C46" s="21"/>
      <c r="D46" s="22"/>
      <c r="E46" s="23"/>
      <c r="F46" s="53">
        <f>IF(ISBLANK(D16)=TRUE, 0, IF(D16="TOU", 0.65*$F$57+0.17*$F$58+0.18*$F$59, IF(AND(D16="non-TOU", G61&gt;0), F61,F60)))</f>
        <v>0.11139</v>
      </c>
      <c r="G46" s="54">
        <f>$F$18*(1+$F$72)-$F$18</f>
        <v>24800</v>
      </c>
      <c r="H46" s="26">
        <f t="shared" si="7"/>
        <v>2762.4720000000002</v>
      </c>
      <c r="I46" s="27"/>
      <c r="J46" s="55">
        <f>0.65*$J$57+0.17*$J$58+0.18*$J$59</f>
        <v>0.11139</v>
      </c>
      <c r="K46" s="54">
        <f>$F$18*(1+$J$72)-$F$18</f>
        <v>24800</v>
      </c>
      <c r="L46" s="26">
        <f t="shared" si="8"/>
        <v>2762.4720000000002</v>
      </c>
      <c r="M46" s="27"/>
      <c r="N46" s="30">
        <f t="shared" si="9"/>
        <v>0</v>
      </c>
      <c r="O46" s="31">
        <f t="shared" si="10"/>
        <v>0</v>
      </c>
      <c r="Q46" s="107"/>
      <c r="S46" s="107"/>
      <c r="U46" s="107"/>
      <c r="W46" s="107"/>
    </row>
    <row r="47" spans="2:23" x14ac:dyDescent="0.2">
      <c r="B47" s="49" t="s">
        <v>28</v>
      </c>
      <c r="C47" s="21"/>
      <c r="D47" s="22" t="s">
        <v>18</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5.5" x14ac:dyDescent="0.2">
      <c r="B48" s="56" t="s">
        <v>29</v>
      </c>
      <c r="C48" s="57"/>
      <c r="D48" s="57"/>
      <c r="E48" s="57"/>
      <c r="F48" s="58"/>
      <c r="G48" s="59"/>
      <c r="H48" s="60">
        <f>SUM(H40:H47)+H39</f>
        <v>50076.812000000005</v>
      </c>
      <c r="I48" s="40"/>
      <c r="J48" s="59"/>
      <c r="K48" s="61"/>
      <c r="L48" s="60">
        <f>SUM(L40:L47)+L39</f>
        <v>35544.592000000004</v>
      </c>
      <c r="M48" s="40"/>
      <c r="N48" s="43">
        <f t="shared" ref="N48:N65" si="15">L48-H48</f>
        <v>-14532.220000000001</v>
      </c>
      <c r="O48" s="44">
        <f t="shared" si="10"/>
        <v>-0.29019858532527987</v>
      </c>
      <c r="Q48" s="107"/>
      <c r="S48" s="107"/>
      <c r="U48" s="107"/>
      <c r="W48" s="107"/>
    </row>
    <row r="49" spans="2:23" x14ac:dyDescent="0.2">
      <c r="B49" s="27" t="s">
        <v>30</v>
      </c>
      <c r="C49" s="27"/>
      <c r="D49" s="62" t="s">
        <v>59</v>
      </c>
      <c r="E49" s="63"/>
      <c r="F49" s="28">
        <f>'LU(7500)'!F49</f>
        <v>3.2927</v>
      </c>
      <c r="G49" s="64">
        <f>+$F$19</f>
        <v>10000</v>
      </c>
      <c r="H49" s="26">
        <f>G49*F49</f>
        <v>32927</v>
      </c>
      <c r="I49" s="27"/>
      <c r="J49" s="28">
        <f>'LU(7500)'!J49</f>
        <v>3.2246000000000001</v>
      </c>
      <c r="K49" s="64">
        <f>+$F$19</f>
        <v>10000</v>
      </c>
      <c r="L49" s="26">
        <f>K49*J49</f>
        <v>32246</v>
      </c>
      <c r="M49" s="27"/>
      <c r="N49" s="30">
        <f t="shared" si="15"/>
        <v>-681</v>
      </c>
      <c r="O49" s="31">
        <f t="shared" si="10"/>
        <v>-2.0682114981626021E-2</v>
      </c>
      <c r="Q49" s="107"/>
      <c r="S49" s="107"/>
      <c r="U49" s="107"/>
      <c r="W49" s="107"/>
    </row>
    <row r="50" spans="2:23" ht="25.5" x14ac:dyDescent="0.2">
      <c r="B50" s="66" t="s">
        <v>31</v>
      </c>
      <c r="C50" s="27"/>
      <c r="D50" s="62" t="s">
        <v>59</v>
      </c>
      <c r="E50" s="63"/>
      <c r="F50" s="28">
        <f>'LU(7500)'!F50</f>
        <v>2.1983999999999999</v>
      </c>
      <c r="G50" s="64">
        <f>G49</f>
        <v>10000</v>
      </c>
      <c r="H50" s="26">
        <f>G50*F50</f>
        <v>21984</v>
      </c>
      <c r="I50" s="27"/>
      <c r="J50" s="28">
        <f>'LU(7500)'!J50</f>
        <v>2.1873</v>
      </c>
      <c r="K50" s="64">
        <f>K49</f>
        <v>10000</v>
      </c>
      <c r="L50" s="26">
        <f>K50*J50</f>
        <v>21873</v>
      </c>
      <c r="M50" s="27"/>
      <c r="N50" s="30">
        <f t="shared" si="15"/>
        <v>-111</v>
      </c>
      <c r="O50" s="31">
        <f t="shared" si="10"/>
        <v>-5.0491266375545848E-3</v>
      </c>
      <c r="Q50" s="107"/>
      <c r="S50" s="107"/>
      <c r="U50" s="107"/>
      <c r="W50" s="107"/>
    </row>
    <row r="51" spans="2:23" ht="25.5" x14ac:dyDescent="0.2">
      <c r="B51" s="56" t="s">
        <v>32</v>
      </c>
      <c r="C51" s="35"/>
      <c r="D51" s="35"/>
      <c r="E51" s="35"/>
      <c r="F51" s="67"/>
      <c r="G51" s="59"/>
      <c r="H51" s="60">
        <f>SUM(H48:H50)</f>
        <v>104987.81200000001</v>
      </c>
      <c r="I51" s="68"/>
      <c r="J51" s="69"/>
      <c r="K51" s="59"/>
      <c r="L51" s="60">
        <f>SUM(L48:L50)</f>
        <v>89663.592000000004</v>
      </c>
      <c r="M51" s="68"/>
      <c r="N51" s="43">
        <f t="shared" si="15"/>
        <v>-15324.220000000001</v>
      </c>
      <c r="O51" s="44">
        <f t="shared" si="10"/>
        <v>-0.14596189508168816</v>
      </c>
      <c r="Q51" s="102"/>
      <c r="S51" s="102"/>
      <c r="U51" s="102"/>
      <c r="W51" s="102"/>
    </row>
    <row r="52" spans="2:23" ht="25.5" x14ac:dyDescent="0.2">
      <c r="B52" s="71" t="s">
        <v>33</v>
      </c>
      <c r="C52" s="21"/>
      <c r="D52" s="22" t="s">
        <v>21</v>
      </c>
      <c r="E52" s="23"/>
      <c r="F52" s="72">
        <f>'LU(7500)'!F52</f>
        <v>3.5999999999999999E-3</v>
      </c>
      <c r="G52" s="64">
        <f>+$F$18+G46</f>
        <v>4024800</v>
      </c>
      <c r="H52" s="73">
        <f t="shared" ref="H52:H59" si="16">G52*F52</f>
        <v>14489.279999999999</v>
      </c>
      <c r="I52" s="27"/>
      <c r="J52" s="72">
        <f>F52</f>
        <v>3.5999999999999999E-3</v>
      </c>
      <c r="K52" s="64">
        <f>+$F$18+K46</f>
        <v>4024800</v>
      </c>
      <c r="L52" s="73">
        <f t="shared" ref="L52:L59" si="17">K52*J52</f>
        <v>14489.279999999999</v>
      </c>
      <c r="M52" s="27"/>
      <c r="N52" s="30">
        <f t="shared" si="15"/>
        <v>0</v>
      </c>
      <c r="O52" s="74">
        <f t="shared" si="10"/>
        <v>0</v>
      </c>
      <c r="Q52" s="107"/>
      <c r="S52" s="107"/>
      <c r="U52" s="107"/>
      <c r="W52" s="107"/>
    </row>
    <row r="53" spans="2:23" ht="25.5" x14ac:dyDescent="0.2">
      <c r="B53" s="71" t="s">
        <v>34</v>
      </c>
      <c r="C53" s="21"/>
      <c r="D53" s="22" t="s">
        <v>21</v>
      </c>
      <c r="E53" s="23"/>
      <c r="F53" s="72">
        <f>'LU(7500)'!F53</f>
        <v>1.2999999999999999E-3</v>
      </c>
      <c r="G53" s="64">
        <f>G52</f>
        <v>4024800</v>
      </c>
      <c r="H53" s="73">
        <f t="shared" si="16"/>
        <v>5232.24</v>
      </c>
      <c r="I53" s="27"/>
      <c r="J53" s="72">
        <f>F53</f>
        <v>1.2999999999999999E-3</v>
      </c>
      <c r="K53" s="64">
        <f>K52</f>
        <v>4024800</v>
      </c>
      <c r="L53" s="73">
        <f t="shared" si="17"/>
        <v>5232.24</v>
      </c>
      <c r="M53" s="27"/>
      <c r="N53" s="30">
        <f t="shared" si="15"/>
        <v>0</v>
      </c>
      <c r="O53" s="74">
        <f t="shared" si="10"/>
        <v>0</v>
      </c>
      <c r="Q53" s="107"/>
      <c r="S53" s="107"/>
      <c r="U53" s="107"/>
      <c r="W53" s="107"/>
    </row>
    <row r="54" spans="2:23" x14ac:dyDescent="0.2">
      <c r="B54" s="21" t="s">
        <v>35</v>
      </c>
      <c r="C54" s="21"/>
      <c r="D54" s="22" t="s">
        <v>18</v>
      </c>
      <c r="E54" s="23"/>
      <c r="F54" s="72">
        <f>'LU(7500)'!F54</f>
        <v>0.25</v>
      </c>
      <c r="G54" s="25">
        <v>1</v>
      </c>
      <c r="H54" s="73">
        <f t="shared" si="16"/>
        <v>0.25</v>
      </c>
      <c r="I54" s="27"/>
      <c r="J54" s="72">
        <f>'LU(7500)'!J54</f>
        <v>0.25</v>
      </c>
      <c r="K54" s="29">
        <v>1</v>
      </c>
      <c r="L54" s="73">
        <f t="shared" si="17"/>
        <v>0.25</v>
      </c>
      <c r="M54" s="27"/>
      <c r="N54" s="30">
        <f t="shared" si="15"/>
        <v>0</v>
      </c>
      <c r="O54" s="74">
        <f t="shared" si="10"/>
        <v>0</v>
      </c>
      <c r="Q54" s="107"/>
      <c r="S54" s="107"/>
      <c r="U54" s="107"/>
      <c r="W54" s="107"/>
    </row>
    <row r="55" spans="2:23" x14ac:dyDescent="0.2">
      <c r="B55" s="21" t="s">
        <v>122</v>
      </c>
      <c r="C55" s="21"/>
      <c r="D55" s="22"/>
      <c r="E55" s="23"/>
      <c r="F55" s="72">
        <f>'Proposed Rates'!D221</f>
        <v>1.1000000000000001E-3</v>
      </c>
      <c r="G55" s="64">
        <f>G53</f>
        <v>4024800</v>
      </c>
      <c r="H55" s="73">
        <f>G55*F55</f>
        <v>4427.2800000000007</v>
      </c>
      <c r="I55" s="27"/>
      <c r="J55" s="72">
        <f>F55</f>
        <v>1.1000000000000001E-3</v>
      </c>
      <c r="K55" s="64">
        <f>K53</f>
        <v>4024800</v>
      </c>
      <c r="L55" s="73">
        <f>K55*J55</f>
        <v>4427.2800000000007</v>
      </c>
      <c r="M55" s="27"/>
      <c r="N55" s="30"/>
      <c r="O55" s="74"/>
      <c r="Q55" s="107"/>
      <c r="S55" s="107"/>
      <c r="U55" s="107"/>
      <c r="W55" s="107"/>
    </row>
    <row r="56" spans="2:23" x14ac:dyDescent="0.2">
      <c r="B56" s="21" t="s">
        <v>36</v>
      </c>
      <c r="C56" s="21"/>
      <c r="D56" s="22"/>
      <c r="E56" s="23"/>
      <c r="F56" s="72">
        <f>'LU(7500)'!F56</f>
        <v>6.94E-3</v>
      </c>
      <c r="G56" s="75">
        <f>$F$18</f>
        <v>4000000</v>
      </c>
      <c r="H56" s="73">
        <f t="shared" si="16"/>
        <v>27760</v>
      </c>
      <c r="I56" s="27"/>
      <c r="J56" s="72">
        <f>+F56</f>
        <v>6.94E-3</v>
      </c>
      <c r="K56" s="76">
        <f>$F$18</f>
        <v>4000000</v>
      </c>
      <c r="L56" s="73">
        <f t="shared" si="17"/>
        <v>27760</v>
      </c>
      <c r="M56" s="27"/>
      <c r="N56" s="30">
        <f t="shared" si="15"/>
        <v>0</v>
      </c>
      <c r="O56" s="74">
        <f t="shared" si="10"/>
        <v>0</v>
      </c>
      <c r="Q56" s="107"/>
      <c r="S56" s="107"/>
      <c r="U56" s="107"/>
      <c r="W56" s="107"/>
    </row>
    <row r="57" spans="2:23" x14ac:dyDescent="0.2">
      <c r="B57" s="49" t="s">
        <v>37</v>
      </c>
      <c r="C57" s="21"/>
      <c r="D57" s="22"/>
      <c r="E57" s="23"/>
      <c r="F57" s="72">
        <f>'LU(7500)'!F57</f>
        <v>8.6999999999999994E-2</v>
      </c>
      <c r="G57" s="77">
        <f>0.65*$F$18</f>
        <v>2600000</v>
      </c>
      <c r="H57" s="73">
        <f t="shared" si="16"/>
        <v>226199.99999999997</v>
      </c>
      <c r="I57" s="27"/>
      <c r="J57" s="72">
        <f>F57</f>
        <v>8.6999999999999994E-2</v>
      </c>
      <c r="K57" s="77">
        <f>$G$57</f>
        <v>2600000</v>
      </c>
      <c r="L57" s="73">
        <f t="shared" si="17"/>
        <v>226199.99999999997</v>
      </c>
      <c r="M57" s="27"/>
      <c r="N57" s="30">
        <f t="shared" si="15"/>
        <v>0</v>
      </c>
      <c r="O57" s="74">
        <f t="shared" si="10"/>
        <v>0</v>
      </c>
      <c r="Q57" s="107"/>
      <c r="S57" s="107"/>
      <c r="U57" s="107"/>
      <c r="W57" s="107"/>
    </row>
    <row r="58" spans="2:23" x14ac:dyDescent="0.2">
      <c r="B58" s="49" t="s">
        <v>38</v>
      </c>
      <c r="C58" s="21"/>
      <c r="D58" s="22"/>
      <c r="E58" s="23"/>
      <c r="F58" s="72">
        <f>'LU(7500)'!F58</f>
        <v>0.13200000000000001</v>
      </c>
      <c r="G58" s="77">
        <f>0.17*$F$18</f>
        <v>680000</v>
      </c>
      <c r="H58" s="73">
        <f t="shared" si="16"/>
        <v>89760</v>
      </c>
      <c r="I58" s="27"/>
      <c r="J58" s="72">
        <f>F58</f>
        <v>0.13200000000000001</v>
      </c>
      <c r="K58" s="77">
        <f>$G$58</f>
        <v>680000</v>
      </c>
      <c r="L58" s="73">
        <f t="shared" si="17"/>
        <v>89760</v>
      </c>
      <c r="M58" s="27"/>
      <c r="N58" s="30">
        <f t="shared" si="15"/>
        <v>0</v>
      </c>
      <c r="O58" s="74">
        <f t="shared" si="10"/>
        <v>0</v>
      </c>
      <c r="Q58" s="107"/>
      <c r="S58" s="107"/>
      <c r="U58" s="107"/>
      <c r="W58" s="107"/>
    </row>
    <row r="59" spans="2:23" x14ac:dyDescent="0.2">
      <c r="B59" s="11" t="s">
        <v>39</v>
      </c>
      <c r="C59" s="21"/>
      <c r="D59" s="22"/>
      <c r="E59" s="23"/>
      <c r="F59" s="72">
        <f>'LU(7500)'!F59</f>
        <v>0.18</v>
      </c>
      <c r="G59" s="77">
        <f>0.18*$F$18</f>
        <v>720000</v>
      </c>
      <c r="H59" s="73">
        <f t="shared" si="16"/>
        <v>129600</v>
      </c>
      <c r="I59" s="27"/>
      <c r="J59" s="72">
        <f>F59</f>
        <v>0.18</v>
      </c>
      <c r="K59" s="77">
        <f>$G$59</f>
        <v>720000</v>
      </c>
      <c r="L59" s="73">
        <f t="shared" si="17"/>
        <v>129600</v>
      </c>
      <c r="M59" s="27"/>
      <c r="N59" s="30">
        <f t="shared" si="15"/>
        <v>0</v>
      </c>
      <c r="O59" s="74">
        <f t="shared" si="10"/>
        <v>0</v>
      </c>
      <c r="Q59" s="107"/>
      <c r="S59" s="107"/>
      <c r="U59" s="107"/>
      <c r="W59" s="107"/>
    </row>
    <row r="60" spans="2:23" s="85" customFormat="1" x14ac:dyDescent="0.2">
      <c r="B60" s="78" t="s">
        <v>40</v>
      </c>
      <c r="C60" s="79"/>
      <c r="D60" s="80"/>
      <c r="E60" s="81"/>
      <c r="F60" s="72">
        <f>'LU(7500)'!F60</f>
        <v>0.10299999999999999</v>
      </c>
      <c r="G60" s="82">
        <v>750</v>
      </c>
      <c r="H60" s="73">
        <f>G60*F60</f>
        <v>77.25</v>
      </c>
      <c r="I60" s="83"/>
      <c r="J60" s="72">
        <f>F60</f>
        <v>0.10299999999999999</v>
      </c>
      <c r="K60" s="82">
        <f>$G$60</f>
        <v>750</v>
      </c>
      <c r="L60" s="73">
        <f>K60*J60</f>
        <v>77.25</v>
      </c>
      <c r="M60" s="83"/>
      <c r="N60" s="84">
        <f t="shared" si="15"/>
        <v>0</v>
      </c>
      <c r="O60" s="74">
        <f t="shared" si="10"/>
        <v>0</v>
      </c>
      <c r="Q60" s="143"/>
      <c r="R60" s="212"/>
      <c r="S60" s="143"/>
      <c r="T60" s="212"/>
      <c r="U60" s="143"/>
      <c r="V60" s="212"/>
      <c r="W60" s="143"/>
    </row>
    <row r="61" spans="2:23" s="85" customFormat="1" ht="13.5" thickBot="1" x14ac:dyDescent="0.25">
      <c r="B61" s="78" t="s">
        <v>41</v>
      </c>
      <c r="C61" s="79"/>
      <c r="D61" s="80"/>
      <c r="E61" s="81"/>
      <c r="F61" s="72">
        <f>'LU(7500)'!F61</f>
        <v>0.121</v>
      </c>
      <c r="G61" s="82">
        <f>F18-G60</f>
        <v>3999250</v>
      </c>
      <c r="H61" s="73">
        <f>G61*F61</f>
        <v>483909.25</v>
      </c>
      <c r="I61" s="83"/>
      <c r="J61" s="72">
        <f>F61</f>
        <v>0.121</v>
      </c>
      <c r="K61" s="82">
        <f>$G$61</f>
        <v>3999250</v>
      </c>
      <c r="L61" s="73">
        <f>K61*J61</f>
        <v>483909.25</v>
      </c>
      <c r="M61" s="83"/>
      <c r="N61" s="84">
        <f t="shared" si="15"/>
        <v>0</v>
      </c>
      <c r="O61" s="74">
        <f t="shared" si="10"/>
        <v>0</v>
      </c>
      <c r="Q61" s="143"/>
      <c r="R61" s="212"/>
      <c r="S61" s="143"/>
      <c r="T61" s="212"/>
      <c r="U61" s="143"/>
      <c r="V61" s="212"/>
      <c r="W61" s="143"/>
    </row>
    <row r="62" spans="2:23" ht="8.25" customHeight="1" thickBot="1" x14ac:dyDescent="0.25">
      <c r="B62" s="86"/>
      <c r="C62" s="87"/>
      <c r="D62" s="88"/>
      <c r="E62" s="87"/>
      <c r="F62" s="89"/>
      <c r="G62" s="90"/>
      <c r="H62" s="91"/>
      <c r="I62" s="92"/>
      <c r="J62" s="89"/>
      <c r="K62" s="93"/>
      <c r="L62" s="91"/>
      <c r="M62" s="92"/>
      <c r="N62" s="94"/>
      <c r="O62" s="95"/>
      <c r="Q62" s="107"/>
      <c r="S62" s="107"/>
      <c r="U62" s="107"/>
      <c r="W62" s="107"/>
    </row>
    <row r="63" spans="2:23" x14ac:dyDescent="0.2">
      <c r="B63" s="96" t="s">
        <v>42</v>
      </c>
      <c r="C63" s="21"/>
      <c r="D63" s="21"/>
      <c r="E63" s="21"/>
      <c r="F63" s="97"/>
      <c r="G63" s="98"/>
      <c r="H63" s="99">
        <f>SUM(H52:H59,H51)</f>
        <v>602456.86199999996</v>
      </c>
      <c r="I63" s="100"/>
      <c r="J63" s="101"/>
      <c r="K63" s="101"/>
      <c r="L63" s="99">
        <f>SUM(L52:L59,L51)</f>
        <v>587132.64199999999</v>
      </c>
      <c r="M63" s="102"/>
      <c r="N63" s="103">
        <f t="shared" ref="N63" si="18">L63-H63</f>
        <v>-15324.219999999972</v>
      </c>
      <c r="O63" s="104">
        <f t="shared" ref="O63" si="19">IF((H63)=0,"",(N63/H63))</f>
        <v>-2.5436211232000166E-2</v>
      </c>
      <c r="Q63" s="102"/>
      <c r="S63" s="102"/>
      <c r="U63" s="102"/>
      <c r="W63" s="102"/>
    </row>
    <row r="64" spans="2:23" x14ac:dyDescent="0.2">
      <c r="B64" s="105" t="s">
        <v>43</v>
      </c>
      <c r="C64" s="21"/>
      <c r="D64" s="21"/>
      <c r="E64" s="21"/>
      <c r="F64" s="106">
        <v>0.13</v>
      </c>
      <c r="G64" s="107"/>
      <c r="H64" s="108">
        <f>H63*F64</f>
        <v>78319.392059999998</v>
      </c>
      <c r="I64" s="109"/>
      <c r="J64" s="110">
        <v>0.13</v>
      </c>
      <c r="K64" s="109"/>
      <c r="L64" s="111">
        <f>L63*J64</f>
        <v>76327.243459999998</v>
      </c>
      <c r="M64" s="112"/>
      <c r="N64" s="113">
        <f t="shared" si="15"/>
        <v>-1992.1486000000004</v>
      </c>
      <c r="O64" s="114">
        <f t="shared" si="10"/>
        <v>-2.5436211232000214E-2</v>
      </c>
      <c r="Q64" s="112"/>
      <c r="S64" s="112"/>
      <c r="U64" s="112"/>
      <c r="W64" s="112"/>
    </row>
    <row r="65" spans="1:23" ht="13.5" thickBot="1" x14ac:dyDescent="0.25">
      <c r="B65" s="115" t="s">
        <v>44</v>
      </c>
      <c r="C65" s="21"/>
      <c r="D65" s="21"/>
      <c r="E65" s="21"/>
      <c r="F65" s="116"/>
      <c r="G65" s="107"/>
      <c r="H65" s="99">
        <f>H63+H64</f>
        <v>680776.25405999995</v>
      </c>
      <c r="I65" s="109"/>
      <c r="J65" s="109"/>
      <c r="K65" s="109"/>
      <c r="L65" s="220">
        <f>L63+L64</f>
        <v>663459.88546000002</v>
      </c>
      <c r="M65" s="112"/>
      <c r="N65" s="103">
        <f t="shared" si="15"/>
        <v>-17316.368599999929</v>
      </c>
      <c r="O65" s="104">
        <f t="shared" si="10"/>
        <v>-2.5436211232000107E-2</v>
      </c>
      <c r="Q65" s="112"/>
      <c r="S65" s="112"/>
      <c r="U65" s="112"/>
      <c r="W65" s="112"/>
    </row>
    <row r="66" spans="1:23" s="85" customFormat="1" ht="8.25" customHeight="1" thickBot="1" x14ac:dyDescent="0.25">
      <c r="B66" s="117"/>
      <c r="C66" s="118"/>
      <c r="D66" s="119"/>
      <c r="E66" s="118"/>
      <c r="F66" s="89"/>
      <c r="G66" s="120"/>
      <c r="H66" s="91"/>
      <c r="I66" s="121"/>
      <c r="J66" s="89"/>
      <c r="K66" s="122"/>
      <c r="L66" s="91"/>
      <c r="M66" s="121"/>
      <c r="N66" s="123"/>
      <c r="O66" s="95"/>
      <c r="Q66" s="143"/>
      <c r="R66" s="212"/>
      <c r="S66" s="143"/>
      <c r="T66" s="212"/>
      <c r="U66" s="143"/>
      <c r="V66" s="212"/>
      <c r="W66" s="143"/>
    </row>
    <row r="67" spans="1:23" s="85" customFormat="1" x14ac:dyDescent="0.2">
      <c r="B67" s="124" t="s">
        <v>45</v>
      </c>
      <c r="C67" s="79"/>
      <c r="D67" s="79"/>
      <c r="E67" s="79"/>
      <c r="F67" s="125"/>
      <c r="G67" s="126"/>
      <c r="H67" s="127">
        <f>SUM(H60:H61,H51,H52:H56)</f>
        <v>640883.36200000008</v>
      </c>
      <c r="I67" s="128"/>
      <c r="J67" s="129"/>
      <c r="K67" s="129"/>
      <c r="L67" s="127">
        <f>SUM(L60:L61,L51,L52:L56)</f>
        <v>625559.14199999999</v>
      </c>
      <c r="M67" s="130"/>
      <c r="N67" s="131">
        <f t="shared" ref="N67:N69" si="20">L67-H67</f>
        <v>-15324.220000000088</v>
      </c>
      <c r="O67" s="104">
        <f t="shared" ref="O67:O69" si="21">IF((H67)=0,"",(N67/H67))</f>
        <v>-2.3911090392763366E-2</v>
      </c>
      <c r="Q67" s="130"/>
      <c r="R67" s="212"/>
      <c r="S67" s="130"/>
      <c r="T67" s="212"/>
      <c r="U67" s="130"/>
      <c r="V67" s="212"/>
      <c r="W67" s="130"/>
    </row>
    <row r="68" spans="1:23" s="85" customFormat="1" x14ac:dyDescent="0.2">
      <c r="B68" s="132" t="s">
        <v>43</v>
      </c>
      <c r="C68" s="79"/>
      <c r="D68" s="79"/>
      <c r="E68" s="79"/>
      <c r="F68" s="133">
        <v>0.13</v>
      </c>
      <c r="G68" s="126"/>
      <c r="H68" s="134">
        <f>H67*F68</f>
        <v>83314.83706000002</v>
      </c>
      <c r="I68" s="135"/>
      <c r="J68" s="136">
        <v>0.13</v>
      </c>
      <c r="K68" s="137"/>
      <c r="L68" s="138">
        <f>L67*J68</f>
        <v>81322.688460000005</v>
      </c>
      <c r="M68" s="139"/>
      <c r="N68" s="140">
        <f t="shared" si="20"/>
        <v>-1992.148600000015</v>
      </c>
      <c r="O68" s="114">
        <f t="shared" si="21"/>
        <v>-2.3911090392763405E-2</v>
      </c>
      <c r="Q68" s="139"/>
      <c r="R68" s="212"/>
      <c r="S68" s="139"/>
      <c r="T68" s="212"/>
      <c r="U68" s="139"/>
      <c r="V68" s="212"/>
      <c r="W68" s="139"/>
    </row>
    <row r="69" spans="1:23" s="85" customFormat="1" ht="13.5" thickBot="1" x14ac:dyDescent="0.25">
      <c r="B69" s="141" t="s">
        <v>44</v>
      </c>
      <c r="C69" s="79"/>
      <c r="D69" s="79"/>
      <c r="E69" s="79"/>
      <c r="F69" s="142"/>
      <c r="G69" s="143"/>
      <c r="H69" s="127">
        <f>H67+H68</f>
        <v>724198.19906000013</v>
      </c>
      <c r="I69" s="135"/>
      <c r="J69" s="135"/>
      <c r="K69" s="135"/>
      <c r="L69" s="219">
        <f>L67+L68</f>
        <v>706881.83045999997</v>
      </c>
      <c r="M69" s="139"/>
      <c r="N69" s="131">
        <f t="shared" si="20"/>
        <v>-17316.368600000162</v>
      </c>
      <c r="O69" s="104">
        <f t="shared" si="21"/>
        <v>-2.391109039276345E-2</v>
      </c>
      <c r="Q69" s="139"/>
      <c r="R69" s="212"/>
      <c r="S69" s="139"/>
      <c r="T69" s="212"/>
      <c r="U69" s="139"/>
      <c r="V69" s="212"/>
      <c r="W69" s="139"/>
    </row>
    <row r="70" spans="1:23" s="85" customFormat="1" ht="8.25" customHeight="1" thickBot="1" x14ac:dyDescent="0.25">
      <c r="B70" s="117"/>
      <c r="C70" s="118"/>
      <c r="D70" s="119"/>
      <c r="E70" s="118"/>
      <c r="F70" s="144"/>
      <c r="G70" s="145"/>
      <c r="H70" s="146"/>
      <c r="I70" s="147"/>
      <c r="J70" s="144"/>
      <c r="K70" s="120"/>
      <c r="L70" s="148"/>
      <c r="M70" s="121"/>
      <c r="N70" s="149"/>
      <c r="O70" s="95"/>
      <c r="Q70" s="143"/>
      <c r="R70" s="212"/>
      <c r="S70" s="143"/>
      <c r="T70" s="212"/>
      <c r="U70" s="143"/>
      <c r="V70" s="212"/>
      <c r="W70" s="143"/>
    </row>
    <row r="71" spans="1:23" x14ac:dyDescent="0.2">
      <c r="L71" s="150"/>
    </row>
    <row r="72" spans="1:23" x14ac:dyDescent="0.2">
      <c r="B72" s="12" t="s">
        <v>46</v>
      </c>
      <c r="F72" s="151">
        <f>'LU(7500)'!F72</f>
        <v>6.1999999999999998E-3</v>
      </c>
      <c r="J72" s="151">
        <v>6.1999999999999998E-3</v>
      </c>
    </row>
    <row r="74" spans="1:23" ht="13.5" customHeight="1" x14ac:dyDescent="0.2">
      <c r="Q74" s="210"/>
      <c r="R74" s="210"/>
      <c r="S74" s="6"/>
      <c r="T74" s="6"/>
      <c r="U74" s="6"/>
      <c r="V74" s="6"/>
      <c r="W74" s="6"/>
    </row>
    <row r="75" spans="1:23" ht="12" customHeight="1" x14ac:dyDescent="0.2">
      <c r="A75" s="6" t="s">
        <v>47</v>
      </c>
      <c r="Q75" s="210"/>
      <c r="R75" s="210"/>
      <c r="S75" s="6"/>
      <c r="T75" s="6"/>
      <c r="U75" s="6"/>
      <c r="V75" s="6"/>
      <c r="W75" s="6"/>
    </row>
    <row r="76" spans="1:23" x14ac:dyDescent="0.2">
      <c r="A76" s="6" t="s">
        <v>48</v>
      </c>
      <c r="Q76" s="210"/>
      <c r="R76" s="210"/>
      <c r="S76" s="6"/>
      <c r="T76" s="6"/>
      <c r="U76" s="6"/>
      <c r="V76" s="6"/>
      <c r="W76" s="6"/>
    </row>
    <row r="77" spans="1:23" x14ac:dyDescent="0.2">
      <c r="Q77" s="210"/>
      <c r="R77" s="210"/>
      <c r="S77" s="6"/>
      <c r="T77" s="6"/>
      <c r="U77" s="6"/>
      <c r="V77" s="6"/>
      <c r="W77" s="6"/>
    </row>
    <row r="78" spans="1:23" x14ac:dyDescent="0.2">
      <c r="A78" s="153" t="s">
        <v>136</v>
      </c>
      <c r="Q78" s="210"/>
      <c r="R78" s="210"/>
      <c r="S78" s="6"/>
      <c r="T78" s="6"/>
      <c r="U78" s="6"/>
      <c r="V78" s="6"/>
      <c r="W78" s="6"/>
    </row>
    <row r="79" spans="1:23" x14ac:dyDescent="0.2">
      <c r="A79" s="11" t="s">
        <v>49</v>
      </c>
      <c r="Q79" s="210"/>
      <c r="R79" s="210"/>
      <c r="S79" s="6"/>
      <c r="T79" s="6"/>
      <c r="U79" s="6"/>
      <c r="V79" s="6"/>
      <c r="W79" s="6"/>
    </row>
    <row r="80" spans="1:23" x14ac:dyDescent="0.2">
      <c r="Q80" s="210"/>
      <c r="R80" s="210"/>
      <c r="S80" s="6"/>
      <c r="T80" s="6"/>
      <c r="U80" s="6"/>
      <c r="V80" s="6"/>
      <c r="W80" s="6"/>
    </row>
    <row r="81" spans="1:23" x14ac:dyDescent="0.2">
      <c r="A81" s="6" t="s">
        <v>135</v>
      </c>
      <c r="Q81" s="210"/>
      <c r="R81" s="210"/>
      <c r="S81" s="6"/>
      <c r="T81" s="6"/>
      <c r="U81" s="6"/>
      <c r="V81" s="6"/>
      <c r="W81" s="6"/>
    </row>
    <row r="82" spans="1:23" x14ac:dyDescent="0.2">
      <c r="A82" s="6" t="s">
        <v>50</v>
      </c>
      <c r="Q82" s="210"/>
      <c r="R82" s="210"/>
      <c r="S82" s="6"/>
      <c r="T82" s="6"/>
      <c r="U82" s="6"/>
      <c r="V82" s="6"/>
      <c r="W82" s="6"/>
    </row>
    <row r="83" spans="1:23" x14ac:dyDescent="0.2">
      <c r="A83" s="6" t="s">
        <v>51</v>
      </c>
      <c r="Q83" s="210"/>
      <c r="R83" s="210"/>
      <c r="S83" s="6"/>
      <c r="T83" s="6"/>
      <c r="U83" s="6"/>
      <c r="V83" s="6"/>
      <c r="W83" s="6"/>
    </row>
    <row r="84" spans="1:23" x14ac:dyDescent="0.2">
      <c r="A84" s="6" t="s">
        <v>52</v>
      </c>
      <c r="Q84" s="210"/>
      <c r="R84" s="210"/>
      <c r="S84" s="6"/>
      <c r="T84" s="6"/>
      <c r="U84" s="6"/>
      <c r="V84" s="6"/>
      <c r="W84" s="6"/>
    </row>
    <row r="85" spans="1:23" x14ac:dyDescent="0.2">
      <c r="A85" s="6" t="s">
        <v>53</v>
      </c>
      <c r="Q85" s="210"/>
      <c r="R85" s="210"/>
      <c r="S85" s="6"/>
      <c r="T85" s="6"/>
      <c r="U85" s="6"/>
      <c r="V85" s="6"/>
      <c r="W85" s="6"/>
    </row>
    <row r="86" spans="1:23" x14ac:dyDescent="0.2">
      <c r="Q86" s="210"/>
      <c r="R86" s="210"/>
      <c r="S86" s="6"/>
      <c r="T86" s="6"/>
      <c r="U86" s="6"/>
      <c r="V86" s="6"/>
      <c r="W86" s="6"/>
    </row>
    <row r="87" spans="1:23" x14ac:dyDescent="0.2">
      <c r="A87" s="152"/>
      <c r="B87" s="6" t="s">
        <v>54</v>
      </c>
      <c r="Q87" s="210"/>
      <c r="R87" s="210"/>
      <c r="S87" s="6"/>
      <c r="T87" s="6"/>
      <c r="U87" s="6"/>
      <c r="V87" s="6"/>
      <c r="W87" s="6"/>
    </row>
    <row r="88" spans="1:23" x14ac:dyDescent="0.2">
      <c r="Q88" s="210"/>
      <c r="R88" s="210"/>
      <c r="S88" s="6"/>
      <c r="T88" s="6"/>
      <c r="U88" s="6"/>
      <c r="V88" s="6"/>
      <c r="W88" s="6"/>
    </row>
    <row r="89" spans="1:23" x14ac:dyDescent="0.2">
      <c r="B89" s="153" t="s">
        <v>55</v>
      </c>
      <c r="Q89" s="210"/>
      <c r="R89" s="210"/>
      <c r="S89" s="6"/>
      <c r="T89" s="6"/>
      <c r="U89" s="6"/>
      <c r="V89" s="6"/>
      <c r="W89" s="6"/>
    </row>
  </sheetData>
  <sheetProtection selectLockedCells="1"/>
  <mergeCells count="8">
    <mergeCell ref="N21:N22"/>
    <mergeCell ref="O21:O22"/>
    <mergeCell ref="A3:K3"/>
    <mergeCell ref="D14:O14"/>
    <mergeCell ref="F20:H20"/>
    <mergeCell ref="J20:L20"/>
    <mergeCell ref="N20:O20"/>
    <mergeCell ref="D21:D22"/>
  </mergeCells>
  <dataValidations count="3">
    <dataValidation type="list" allowBlank="1" showInputMessage="1" showErrorMessage="1" sqref="E49:E50 E70 E66 E52:E62 E23:E38 E40:E47">
      <formula1>#REF!</formula1>
    </dataValidation>
    <dataValidation type="list" allowBlank="1" showInputMessage="1" showErrorMessage="1" prompt="Select Charge Unit - monthly, per kWh, per kW" sqref="D70 D66 D23:D38 D52:D62 D49:D50 D40:D47">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0" fitToWidth="2"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Option Button 1">
              <controlPr defaultSize="0" autoFill="0" autoLine="0" autoPict="0">
                <anchor moveWithCells="1">
                  <from>
                    <xdr:col>6</xdr:col>
                    <xdr:colOff>466725</xdr:colOff>
                    <xdr:row>16</xdr:row>
                    <xdr:rowOff>190500</xdr:rowOff>
                  </from>
                  <to>
                    <xdr:col>8</xdr:col>
                    <xdr:colOff>85725</xdr:colOff>
                    <xdr:row>18</xdr:row>
                    <xdr:rowOff>47625</xdr:rowOff>
                  </to>
                </anchor>
              </controlPr>
            </control>
          </mc:Choice>
        </mc:AlternateContent>
        <mc:AlternateContent xmlns:mc="http://schemas.openxmlformats.org/markup-compatibility/2006">
          <mc:Choice Requires="x14">
            <control shapeId="37890" r:id="rId5" name="Option Button 2">
              <controlPr defaultSize="0" autoFill="0" autoLine="0" autoPict="0">
                <anchor moveWithCells="1">
                  <from>
                    <xdr:col>9</xdr:col>
                    <xdr:colOff>352425</xdr:colOff>
                    <xdr:row>16</xdr:row>
                    <xdr:rowOff>133350</xdr:rowOff>
                  </from>
                  <to>
                    <xdr:col>13</xdr:col>
                    <xdr:colOff>1247775</xdr:colOff>
                    <xdr:row>18</xdr:row>
                    <xdr:rowOff>152400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93"/>
  <sheetViews>
    <sheetView showGridLines="0" view="pageBreakPreview" zoomScale="70" zoomScaleNormal="85" zoomScaleSheetLayoutView="70" workbookViewId="0">
      <selection activeCell="O41" sqref="O4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8.5703125" style="6" customWidth="1"/>
    <col min="8" max="8" width="12.5703125" style="6" bestFit="1" customWidth="1"/>
    <col min="9" max="9" width="2.85546875" style="6" customWidth="1"/>
    <col min="10" max="10" width="12.140625" style="6" customWidth="1"/>
    <col min="11" max="11" width="10.42578125" style="6" customWidth="1"/>
    <col min="12" max="12" width="12.5703125" style="6" bestFit="1" customWidth="1"/>
    <col min="13" max="13" width="2.85546875" style="6" customWidth="1"/>
    <col min="14" max="14" width="12.7109375" style="6" bestFit="1" customWidth="1"/>
    <col min="15" max="15" width="10.85546875" style="6" bestFit="1" customWidth="1"/>
    <col min="16" max="16" width="3.85546875" style="6" customWidth="1"/>
    <col min="17" max="17" width="2.85546875" style="211" customWidth="1"/>
    <col min="18" max="18" width="4.5703125" style="211" customWidth="1"/>
    <col min="19" max="19" width="2.85546875" style="211" customWidth="1"/>
    <col min="20" max="20" width="4.5703125" style="211" customWidth="1"/>
    <col min="21" max="21" width="2.85546875" style="211" customWidth="1"/>
    <col min="22" max="22" width="4.5703125" style="211" customWidth="1"/>
    <col min="23" max="23" width="2.85546875" style="21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63</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470</v>
      </c>
      <c r="G18" s="12" t="s">
        <v>6</v>
      </c>
    </row>
    <row r="19" spans="2:23" x14ac:dyDescent="0.2">
      <c r="B19" s="11"/>
      <c r="F19" s="13"/>
      <c r="G19" s="6" t="s">
        <v>58</v>
      </c>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156">
        <f>'Proposed Rates'!D14</f>
        <v>4.42</v>
      </c>
      <c r="G23" s="25">
        <v>1</v>
      </c>
      <c r="H23" s="26">
        <f>G23*F23</f>
        <v>4.42</v>
      </c>
      <c r="I23" s="27"/>
      <c r="J23" s="157">
        <f>+'Proposed Rates'!E14</f>
        <v>4.5999999999999996</v>
      </c>
      <c r="K23" s="29">
        <v>1</v>
      </c>
      <c r="L23" s="26">
        <f>K23*J23</f>
        <v>4.5999999999999996</v>
      </c>
      <c r="M23" s="27"/>
      <c r="N23" s="30">
        <f>L23-H23</f>
        <v>0.17999999999999972</v>
      </c>
      <c r="O23" s="31">
        <f>IF((H23)=0,"",(N23/H23))</f>
        <v>4.0723981900452427E-2</v>
      </c>
      <c r="Q23" s="107"/>
      <c r="S23" s="107"/>
      <c r="U23" s="107"/>
      <c r="W23" s="107"/>
    </row>
    <row r="24" spans="2:23" x14ac:dyDescent="0.2">
      <c r="B24" s="21" t="s">
        <v>19</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'Proposed Rates'!D27</f>
        <v>2.1899999999999999E-2</v>
      </c>
      <c r="G29" s="25">
        <f>+$F$18</f>
        <v>470</v>
      </c>
      <c r="H29" s="26">
        <f t="shared" si="0"/>
        <v>10.292999999999999</v>
      </c>
      <c r="I29" s="27"/>
      <c r="J29" s="28">
        <f>+'Proposed Rates'!E27</f>
        <v>2.2599999999999999E-2</v>
      </c>
      <c r="K29" s="25">
        <f>+$F$18</f>
        <v>470</v>
      </c>
      <c r="L29" s="26">
        <f t="shared" si="1"/>
        <v>10.622</v>
      </c>
      <c r="M29" s="27"/>
      <c r="N29" s="30">
        <f t="shared" si="2"/>
        <v>0.32900000000000063</v>
      </c>
      <c r="O29" s="31">
        <f t="shared" si="3"/>
        <v>3.1963470319634764E-2</v>
      </c>
      <c r="Q29" s="107"/>
      <c r="S29" s="107"/>
      <c r="U29" s="107"/>
      <c r="W29" s="107"/>
    </row>
    <row r="30" spans="2:23" x14ac:dyDescent="0.2">
      <c r="B30" s="21" t="s">
        <v>22</v>
      </c>
      <c r="C30" s="21"/>
      <c r="D30" s="22"/>
      <c r="E30" s="23"/>
      <c r="F30" s="24"/>
      <c r="G30" s="25">
        <f t="shared" ref="G30:G38" si="4">$F$18</f>
        <v>470</v>
      </c>
      <c r="H30" s="26">
        <f t="shared" si="0"/>
        <v>0</v>
      </c>
      <c r="I30" s="27"/>
      <c r="J30" s="28"/>
      <c r="K30" s="25">
        <f t="shared" ref="K30:K38" si="5">$F$18</f>
        <v>470</v>
      </c>
      <c r="L30" s="26">
        <f t="shared" si="1"/>
        <v>0</v>
      </c>
      <c r="M30" s="27"/>
      <c r="N30" s="30">
        <f t="shared" si="2"/>
        <v>0</v>
      </c>
      <c r="O30" s="31" t="str">
        <f t="shared" si="3"/>
        <v/>
      </c>
      <c r="Q30" s="107"/>
      <c r="S30" s="107"/>
      <c r="U30" s="107"/>
      <c r="W30" s="107"/>
    </row>
    <row r="31" spans="2:23" x14ac:dyDescent="0.2">
      <c r="B31" s="21" t="s">
        <v>23</v>
      </c>
      <c r="C31" s="21"/>
      <c r="D31" s="22" t="s">
        <v>21</v>
      </c>
      <c r="E31" s="23"/>
      <c r="F31" s="24">
        <f>'Proposed Rates'!D74</f>
        <v>-4.4000000000000002E-4</v>
      </c>
      <c r="G31" s="25">
        <f t="shared" si="4"/>
        <v>470</v>
      </c>
      <c r="H31" s="26">
        <f t="shared" si="0"/>
        <v>-0.20680000000000001</v>
      </c>
      <c r="I31" s="27"/>
      <c r="J31" s="28">
        <f>+'Proposed Rates'!E74</f>
        <v>0</v>
      </c>
      <c r="K31" s="25">
        <f t="shared" si="5"/>
        <v>470</v>
      </c>
      <c r="L31" s="26">
        <f t="shared" si="1"/>
        <v>0</v>
      </c>
      <c r="M31" s="27"/>
      <c r="N31" s="30">
        <f t="shared" si="2"/>
        <v>0.20680000000000001</v>
      </c>
      <c r="O31" s="31">
        <f t="shared" si="3"/>
        <v>-1</v>
      </c>
      <c r="Q31" s="107"/>
      <c r="S31" s="107"/>
      <c r="U31" s="107"/>
      <c r="W31" s="107"/>
    </row>
    <row r="32" spans="2:23" x14ac:dyDescent="0.2">
      <c r="B32" s="33"/>
      <c r="C32" s="21"/>
      <c r="D32" s="22"/>
      <c r="E32" s="23"/>
      <c r="F32" s="24"/>
      <c r="G32" s="25">
        <f t="shared" si="4"/>
        <v>470</v>
      </c>
      <c r="H32" s="26">
        <f t="shared" si="0"/>
        <v>0</v>
      </c>
      <c r="I32" s="27"/>
      <c r="J32" s="28"/>
      <c r="K32" s="25">
        <f t="shared" si="5"/>
        <v>470</v>
      </c>
      <c r="L32" s="26">
        <f t="shared" si="1"/>
        <v>0</v>
      </c>
      <c r="M32" s="27"/>
      <c r="N32" s="30">
        <f t="shared" si="2"/>
        <v>0</v>
      </c>
      <c r="O32" s="31" t="str">
        <f t="shared" si="3"/>
        <v/>
      </c>
      <c r="Q32" s="107"/>
      <c r="S32" s="107"/>
      <c r="U32" s="107"/>
      <c r="W32" s="107"/>
    </row>
    <row r="33" spans="2:23" x14ac:dyDescent="0.2">
      <c r="B33" s="33"/>
      <c r="C33" s="21"/>
      <c r="D33" s="22"/>
      <c r="E33" s="23"/>
      <c r="F33" s="24"/>
      <c r="G33" s="25">
        <f t="shared" si="4"/>
        <v>470</v>
      </c>
      <c r="H33" s="26">
        <f t="shared" si="0"/>
        <v>0</v>
      </c>
      <c r="I33" s="27"/>
      <c r="J33" s="28"/>
      <c r="K33" s="25">
        <f t="shared" si="5"/>
        <v>470</v>
      </c>
      <c r="L33" s="26">
        <f t="shared" si="1"/>
        <v>0</v>
      </c>
      <c r="M33" s="27"/>
      <c r="N33" s="30">
        <f t="shared" si="2"/>
        <v>0</v>
      </c>
      <c r="O33" s="31" t="str">
        <f t="shared" si="3"/>
        <v/>
      </c>
      <c r="Q33" s="107"/>
      <c r="S33" s="107"/>
      <c r="U33" s="107"/>
      <c r="W33" s="107"/>
    </row>
    <row r="34" spans="2:23" x14ac:dyDescent="0.2">
      <c r="B34" s="33"/>
      <c r="C34" s="21"/>
      <c r="D34" s="22"/>
      <c r="E34" s="23"/>
      <c r="F34" s="24"/>
      <c r="G34" s="25">
        <f t="shared" si="4"/>
        <v>470</v>
      </c>
      <c r="H34" s="26">
        <f t="shared" si="0"/>
        <v>0</v>
      </c>
      <c r="I34" s="27"/>
      <c r="J34" s="28"/>
      <c r="K34" s="25">
        <f t="shared" si="5"/>
        <v>470</v>
      </c>
      <c r="L34" s="26">
        <f t="shared" si="1"/>
        <v>0</v>
      </c>
      <c r="M34" s="27"/>
      <c r="N34" s="30">
        <f t="shared" si="2"/>
        <v>0</v>
      </c>
      <c r="O34" s="31" t="str">
        <f t="shared" si="3"/>
        <v/>
      </c>
      <c r="Q34" s="107"/>
      <c r="S34" s="107"/>
      <c r="U34" s="107"/>
      <c r="W34" s="107"/>
    </row>
    <row r="35" spans="2:23" x14ac:dyDescent="0.2">
      <c r="B35" s="33"/>
      <c r="C35" s="21"/>
      <c r="D35" s="22"/>
      <c r="E35" s="23"/>
      <c r="F35" s="24"/>
      <c r="G35" s="25">
        <f t="shared" si="4"/>
        <v>470</v>
      </c>
      <c r="H35" s="26">
        <f t="shared" si="0"/>
        <v>0</v>
      </c>
      <c r="I35" s="27"/>
      <c r="J35" s="28"/>
      <c r="K35" s="25">
        <f t="shared" si="5"/>
        <v>470</v>
      </c>
      <c r="L35" s="26">
        <f t="shared" si="1"/>
        <v>0</v>
      </c>
      <c r="M35" s="27"/>
      <c r="N35" s="30">
        <f t="shared" si="2"/>
        <v>0</v>
      </c>
      <c r="O35" s="31" t="str">
        <f t="shared" si="3"/>
        <v/>
      </c>
      <c r="Q35" s="107"/>
      <c r="S35" s="107"/>
      <c r="U35" s="107"/>
      <c r="W35" s="107"/>
    </row>
    <row r="36" spans="2:23" x14ac:dyDescent="0.2">
      <c r="B36" s="33"/>
      <c r="C36" s="21"/>
      <c r="D36" s="22"/>
      <c r="E36" s="23"/>
      <c r="F36" s="24"/>
      <c r="G36" s="25">
        <f t="shared" si="4"/>
        <v>470</v>
      </c>
      <c r="H36" s="26">
        <f t="shared" si="0"/>
        <v>0</v>
      </c>
      <c r="I36" s="27"/>
      <c r="J36" s="28"/>
      <c r="K36" s="25">
        <f t="shared" si="5"/>
        <v>470</v>
      </c>
      <c r="L36" s="26">
        <f t="shared" si="1"/>
        <v>0</v>
      </c>
      <c r="M36" s="27"/>
      <c r="N36" s="30">
        <f t="shared" si="2"/>
        <v>0</v>
      </c>
      <c r="O36" s="31" t="str">
        <f t="shared" si="3"/>
        <v/>
      </c>
      <c r="Q36" s="107"/>
      <c r="S36" s="107"/>
      <c r="U36" s="107"/>
      <c r="W36" s="107"/>
    </row>
    <row r="37" spans="2:23" x14ac:dyDescent="0.2">
      <c r="B37" s="33"/>
      <c r="C37" s="21"/>
      <c r="D37" s="22"/>
      <c r="E37" s="23"/>
      <c r="F37" s="24"/>
      <c r="G37" s="25">
        <f t="shared" si="4"/>
        <v>470</v>
      </c>
      <c r="H37" s="26">
        <f t="shared" si="0"/>
        <v>0</v>
      </c>
      <c r="I37" s="27"/>
      <c r="J37" s="28"/>
      <c r="K37" s="25">
        <f t="shared" si="5"/>
        <v>470</v>
      </c>
      <c r="L37" s="26">
        <f t="shared" si="1"/>
        <v>0</v>
      </c>
      <c r="M37" s="27"/>
      <c r="N37" s="30">
        <f t="shared" si="2"/>
        <v>0</v>
      </c>
      <c r="O37" s="31" t="str">
        <f t="shared" si="3"/>
        <v/>
      </c>
      <c r="Q37" s="107"/>
      <c r="S37" s="107"/>
      <c r="U37" s="107"/>
      <c r="W37" s="107"/>
    </row>
    <row r="38" spans="2:23" x14ac:dyDescent="0.2">
      <c r="B38" s="33"/>
      <c r="C38" s="21"/>
      <c r="D38" s="22"/>
      <c r="E38" s="23"/>
      <c r="F38" s="24"/>
      <c r="G38" s="25">
        <f t="shared" si="4"/>
        <v>470</v>
      </c>
      <c r="H38" s="26">
        <f t="shared" si="0"/>
        <v>0</v>
      </c>
      <c r="I38" s="27"/>
      <c r="J38" s="28"/>
      <c r="K38" s="25">
        <f t="shared" si="5"/>
        <v>470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14.5062</v>
      </c>
      <c r="I39" s="40"/>
      <c r="J39" s="41"/>
      <c r="K39" s="42"/>
      <c r="L39" s="39">
        <f>SUM(L23:L38)</f>
        <v>15.222</v>
      </c>
      <c r="M39" s="40"/>
      <c r="N39" s="43">
        <f t="shared" si="2"/>
        <v>0.71579999999999977</v>
      </c>
      <c r="O39" s="44">
        <f t="shared" si="3"/>
        <v>4.9344418248748793E-2</v>
      </c>
      <c r="Q39" s="107"/>
      <c r="R39" s="211"/>
      <c r="S39" s="107"/>
      <c r="T39" s="211"/>
      <c r="U39" s="107"/>
      <c r="V39" s="211"/>
      <c r="W39" s="107"/>
    </row>
    <row r="40" spans="2:23" ht="38.25" x14ac:dyDescent="0.2">
      <c r="B40" s="46" t="str">
        <f>+'&gt;50 (100)'!B40</f>
        <v>Deferral/Variance Account Disposition Rate Rider Class 1</v>
      </c>
      <c r="C40" s="21"/>
      <c r="D40" s="22" t="s">
        <v>21</v>
      </c>
      <c r="E40" s="23"/>
      <c r="F40" s="24">
        <f>'Proposed Rates'!D45</f>
        <v>-8.4500000000000005E-4</v>
      </c>
      <c r="G40" s="25">
        <f t="shared" ref="G40:G44" si="6">$F$18</f>
        <v>470</v>
      </c>
      <c r="H40" s="26">
        <f>G40*F40</f>
        <v>-0.39715</v>
      </c>
      <c r="I40" s="27"/>
      <c r="J40" s="28">
        <f>+'Proposed Rates'!E45</f>
        <v>0</v>
      </c>
      <c r="K40" s="25">
        <f t="shared" ref="K40:K44" si="7">$F$18</f>
        <v>470</v>
      </c>
      <c r="L40" s="26">
        <f>K40*J40</f>
        <v>0</v>
      </c>
      <c r="M40" s="27"/>
      <c r="N40" s="30">
        <f>L40-H40</f>
        <v>0.39715</v>
      </c>
      <c r="O40" s="31">
        <f>IF((H40)=0,"",(N40/H40))</f>
        <v>-1</v>
      </c>
      <c r="Q40" s="107"/>
      <c r="S40" s="107"/>
      <c r="U40" s="107"/>
      <c r="W40" s="107"/>
    </row>
    <row r="41" spans="2:23" ht="38.25" x14ac:dyDescent="0.2">
      <c r="B41" s="46" t="str">
        <f>+'&gt;50 (100)'!B41</f>
        <v>Deferral/Variance Account Disposition Rate Rider Class 2</v>
      </c>
      <c r="C41" s="21"/>
      <c r="D41" s="22" t="s">
        <v>21</v>
      </c>
      <c r="E41" s="23"/>
      <c r="F41" s="24">
        <f>'Proposed Rates'!D59</f>
        <v>-4.0000000000000003E-5</v>
      </c>
      <c r="G41" s="25">
        <f t="shared" si="6"/>
        <v>470</v>
      </c>
      <c r="H41" s="26">
        <f t="shared" ref="H41:H46" si="8">G41*F41</f>
        <v>-1.8800000000000001E-2</v>
      </c>
      <c r="I41" s="47"/>
      <c r="J41" s="28">
        <f>+'Proposed Rates'!E59</f>
        <v>0</v>
      </c>
      <c r="K41" s="25">
        <f t="shared" si="7"/>
        <v>470</v>
      </c>
      <c r="L41" s="26">
        <f t="shared" ref="L41:L46" si="9">K41*J41</f>
        <v>0</v>
      </c>
      <c r="M41" s="48"/>
      <c r="N41" s="30">
        <f t="shared" ref="N41:N46" si="10">L41-H41</f>
        <v>1.8800000000000001E-2</v>
      </c>
      <c r="O41" s="31">
        <f t="shared" ref="O41:O65" si="11">IF((H41)=0,"",(N41/H41))</f>
        <v>-1</v>
      </c>
      <c r="Q41" s="107"/>
      <c r="S41" s="107"/>
      <c r="U41" s="107"/>
      <c r="W41" s="107"/>
    </row>
    <row r="42" spans="2:23" ht="38.25" x14ac:dyDescent="0.2">
      <c r="B42" s="46" t="str">
        <f>+'&gt;50 (100)'!B42</f>
        <v xml:space="preserve">Deferral/Variance Account Disposition Rate Rider -  Global Adjustment </v>
      </c>
      <c r="C42" s="21"/>
      <c r="D42" s="22" t="s">
        <v>21</v>
      </c>
      <c r="E42" s="23"/>
      <c r="F42" s="24">
        <f>'Proposed Rates'!D88</f>
        <v>0</v>
      </c>
      <c r="G42" s="25">
        <f t="shared" si="6"/>
        <v>470</v>
      </c>
      <c r="H42" s="26">
        <f t="shared" si="8"/>
        <v>0</v>
      </c>
      <c r="I42" s="47"/>
      <c r="J42" s="28"/>
      <c r="K42" s="25">
        <f t="shared" si="7"/>
        <v>470</v>
      </c>
      <c r="L42" s="26">
        <f t="shared" si="9"/>
        <v>0</v>
      </c>
      <c r="M42" s="48"/>
      <c r="N42" s="30">
        <f t="shared" si="10"/>
        <v>0</v>
      </c>
      <c r="O42" s="31" t="str">
        <f t="shared" si="11"/>
        <v/>
      </c>
      <c r="Q42" s="107"/>
      <c r="S42" s="107"/>
      <c r="U42" s="107"/>
      <c r="W42" s="107"/>
    </row>
    <row r="43" spans="2:23" ht="38.25" x14ac:dyDescent="0.2">
      <c r="B43" s="46" t="str">
        <f>+'&gt;50 (100)'!B43</f>
        <v>Deferral / Variance Accounts Balances (excluding Global Adj.) - NON-WMP</v>
      </c>
      <c r="C43" s="21"/>
      <c r="D43" s="22" t="s">
        <v>21</v>
      </c>
      <c r="E43" s="23"/>
      <c r="F43" s="24">
        <f>'Proposed Rates'!D104</f>
        <v>-1.5089999999999999E-3</v>
      </c>
      <c r="G43" s="25">
        <f t="shared" si="6"/>
        <v>470</v>
      </c>
      <c r="H43" s="26">
        <f t="shared" si="8"/>
        <v>-0.70922999999999992</v>
      </c>
      <c r="I43" s="47"/>
      <c r="J43" s="28">
        <f>+'Proposed Rates'!E104</f>
        <v>-2.3E-3</v>
      </c>
      <c r="K43" s="25">
        <f t="shared" si="7"/>
        <v>470</v>
      </c>
      <c r="L43" s="26">
        <f t="shared" si="9"/>
        <v>-1.081</v>
      </c>
      <c r="M43" s="48"/>
      <c r="N43" s="30">
        <f t="shared" si="10"/>
        <v>-0.37177000000000004</v>
      </c>
      <c r="O43" s="31">
        <f t="shared" si="11"/>
        <v>0.52418820410868139</v>
      </c>
      <c r="Q43" s="107"/>
      <c r="S43" s="107"/>
      <c r="U43" s="107"/>
      <c r="W43" s="107"/>
    </row>
    <row r="44" spans="2:23" ht="38.25" x14ac:dyDescent="0.2">
      <c r="B44" s="46" t="s">
        <v>128</v>
      </c>
      <c r="C44" s="21"/>
      <c r="D44" s="22" t="s">
        <v>21</v>
      </c>
      <c r="E44" s="23"/>
      <c r="F44" s="24">
        <f>+'Proposed Rates'!D118</f>
        <v>0</v>
      </c>
      <c r="G44" s="25">
        <f t="shared" si="6"/>
        <v>470</v>
      </c>
      <c r="H44" s="26">
        <f t="shared" si="8"/>
        <v>0</v>
      </c>
      <c r="I44" s="236"/>
      <c r="J44" s="233">
        <f>+'Proposed Rates'!E118</f>
        <v>2.7E-4</v>
      </c>
      <c r="K44" s="25">
        <f t="shared" si="7"/>
        <v>470</v>
      </c>
      <c r="L44" s="26">
        <f t="shared" si="9"/>
        <v>0.12690000000000001</v>
      </c>
      <c r="M44" s="236"/>
      <c r="N44" s="30">
        <f t="shared" si="10"/>
        <v>0.12690000000000001</v>
      </c>
      <c r="O44" s="31" t="str">
        <f t="shared" si="11"/>
        <v/>
      </c>
      <c r="Q44" s="107"/>
      <c r="S44" s="107"/>
      <c r="U44" s="107"/>
      <c r="W44" s="107"/>
    </row>
    <row r="45" spans="2:23" x14ac:dyDescent="0.2">
      <c r="B45" s="49" t="s">
        <v>26</v>
      </c>
      <c r="C45" s="21"/>
      <c r="D45" s="22" t="s">
        <v>21</v>
      </c>
      <c r="E45" s="23"/>
      <c r="F45" s="50">
        <f>'Proposed Rates'!D133</f>
        <v>6.0000000000000002E-5</v>
      </c>
      <c r="G45" s="51">
        <f>$F$18+G46</f>
        <v>485.74500000000006</v>
      </c>
      <c r="H45" s="26">
        <f>G45*F45</f>
        <v>2.9144700000000006E-2</v>
      </c>
      <c r="I45" s="27"/>
      <c r="J45" s="50">
        <f>'Proposed Rates'!E133</f>
        <v>6.9999999999999994E-5</v>
      </c>
      <c r="K45" s="51">
        <f>+$G$45</f>
        <v>485.74500000000006</v>
      </c>
      <c r="L45" s="26">
        <f>K45*J45</f>
        <v>3.4002150000000002E-2</v>
      </c>
      <c r="M45" s="27"/>
      <c r="N45" s="30">
        <f>L45-H45</f>
        <v>4.8574499999999958E-3</v>
      </c>
      <c r="O45" s="31">
        <f>IF((H45)=0,"",(N45/H45))</f>
        <v>0.16666666666666649</v>
      </c>
      <c r="Q45" s="107"/>
      <c r="S45" s="107"/>
      <c r="U45" s="107"/>
      <c r="W45" s="107"/>
    </row>
    <row r="46" spans="2:23" x14ac:dyDescent="0.2">
      <c r="B46" s="49" t="s">
        <v>27</v>
      </c>
      <c r="C46" s="21"/>
      <c r="D46" s="22"/>
      <c r="E46" s="23"/>
      <c r="F46" s="53">
        <f>IF(ISBLANK(D16)=TRUE, 0, IF(D16="TOU", 0.65*$F$57+0.17*$F$58+0.18*$F$59, IF(AND(D16="non-TOU", G61&gt;0), F61,F60)))</f>
        <v>0.11139</v>
      </c>
      <c r="G46" s="54">
        <f>$F$18*(1+$F$72)-$F$18</f>
        <v>15.745000000000061</v>
      </c>
      <c r="H46" s="26">
        <f t="shared" si="8"/>
        <v>1.7538355500000069</v>
      </c>
      <c r="I46" s="27"/>
      <c r="J46" s="55">
        <f>0.65*$J$57+0.17*$J$58+0.18*$J$59</f>
        <v>0.11139</v>
      </c>
      <c r="K46" s="54">
        <f>$F$18*(1+$J$72)-$F$18</f>
        <v>15.745000000000061</v>
      </c>
      <c r="L46" s="26">
        <f t="shared" si="9"/>
        <v>1.7538355500000069</v>
      </c>
      <c r="M46" s="27"/>
      <c r="N46" s="30">
        <f t="shared" si="10"/>
        <v>0</v>
      </c>
      <c r="O46" s="31">
        <f t="shared" si="11"/>
        <v>0</v>
      </c>
      <c r="Q46" s="107"/>
      <c r="S46" s="107"/>
      <c r="U46" s="107"/>
      <c r="W46" s="107"/>
    </row>
    <row r="47" spans="2:23" x14ac:dyDescent="0.2">
      <c r="B47" s="49" t="s">
        <v>28</v>
      </c>
      <c r="C47" s="21"/>
      <c r="D47" s="22" t="s">
        <v>18</v>
      </c>
      <c r="E47" s="23"/>
      <c r="F47" s="155">
        <v>0</v>
      </c>
      <c r="G47" s="25">
        <v>1</v>
      </c>
      <c r="H47" s="26">
        <f>G47*F47</f>
        <v>0</v>
      </c>
      <c r="I47" s="27"/>
      <c r="J47" s="53">
        <f>+F47</f>
        <v>0</v>
      </c>
      <c r="K47" s="25">
        <v>1</v>
      </c>
      <c r="L47" s="26">
        <f>K47*J47</f>
        <v>0</v>
      </c>
      <c r="M47" s="27"/>
      <c r="N47" s="30">
        <f>L47-H47</f>
        <v>0</v>
      </c>
      <c r="O47" s="31" t="str">
        <f t="shared" si="11"/>
        <v/>
      </c>
      <c r="Q47" s="107"/>
      <c r="S47" s="107"/>
      <c r="U47" s="107"/>
      <c r="W47" s="107"/>
    </row>
    <row r="48" spans="2:23" ht="25.5" x14ac:dyDescent="0.2">
      <c r="B48" s="56" t="s">
        <v>29</v>
      </c>
      <c r="C48" s="57"/>
      <c r="D48" s="57"/>
      <c r="E48" s="57"/>
      <c r="F48" s="58"/>
      <c r="G48" s="59"/>
      <c r="H48" s="60">
        <f>SUM(H40:H47)+H39</f>
        <v>15.164000250000006</v>
      </c>
      <c r="I48" s="40"/>
      <c r="J48" s="59"/>
      <c r="K48" s="61"/>
      <c r="L48" s="60">
        <f>SUM(L40:L47)+L39</f>
        <v>16.055737700000005</v>
      </c>
      <c r="M48" s="40"/>
      <c r="N48" s="43">
        <f t="shared" ref="N48:N65" si="12">L48-H48</f>
        <v>0.89173744999999904</v>
      </c>
      <c r="O48" s="44">
        <f t="shared" si="11"/>
        <v>5.8806214409024338E-2</v>
      </c>
      <c r="Q48" s="107"/>
      <c r="S48" s="107"/>
      <c r="U48" s="107"/>
      <c r="W48" s="107"/>
    </row>
    <row r="49" spans="2:23" x14ac:dyDescent="0.2">
      <c r="B49" s="27" t="s">
        <v>30</v>
      </c>
      <c r="C49" s="27"/>
      <c r="D49" s="22" t="s">
        <v>21</v>
      </c>
      <c r="E49" s="63"/>
      <c r="F49" s="28">
        <f>'Proposed Rates'!D163</f>
        <v>6.8999999999999999E-3</v>
      </c>
      <c r="G49" s="64">
        <f>F18*(1+F72)</f>
        <v>485.74500000000006</v>
      </c>
      <c r="H49" s="26">
        <f>G49*F49</f>
        <v>3.3516405000000002</v>
      </c>
      <c r="I49" s="27"/>
      <c r="J49" s="28">
        <f>'Proposed Rates'!E163</f>
        <v>6.7999999999999996E-3</v>
      </c>
      <c r="K49" s="64">
        <f>$F$18*(1+J72)</f>
        <v>485.74500000000006</v>
      </c>
      <c r="L49" s="26">
        <f>K49*J49</f>
        <v>3.3030660000000003</v>
      </c>
      <c r="M49" s="27"/>
      <c r="N49" s="30">
        <f t="shared" si="12"/>
        <v>-4.8574499999999965E-2</v>
      </c>
      <c r="O49" s="31">
        <f t="shared" si="11"/>
        <v>-1.4492753623188394E-2</v>
      </c>
      <c r="Q49" s="107"/>
      <c r="S49" s="107"/>
      <c r="U49" s="107"/>
      <c r="W49" s="107"/>
    </row>
    <row r="50" spans="2:23" ht="25.5" x14ac:dyDescent="0.2">
      <c r="B50" s="66" t="s">
        <v>31</v>
      </c>
      <c r="C50" s="27"/>
      <c r="D50" s="22" t="s">
        <v>21</v>
      </c>
      <c r="E50" s="63"/>
      <c r="F50" s="28">
        <f>'Proposed Rates'!D178</f>
        <v>4.4999999999999997E-3</v>
      </c>
      <c r="G50" s="64">
        <f>+G49</f>
        <v>485.74500000000006</v>
      </c>
      <c r="H50" s="26">
        <f>G50*F50</f>
        <v>2.1858525000000002</v>
      </c>
      <c r="I50" s="27"/>
      <c r="J50" s="28">
        <f>'Proposed Rates'!E178</f>
        <v>4.4999999999999997E-3</v>
      </c>
      <c r="K50" s="64">
        <f>+K49</f>
        <v>485.74500000000006</v>
      </c>
      <c r="L50" s="26">
        <f>K50*J50</f>
        <v>2.1858525000000002</v>
      </c>
      <c r="M50" s="27"/>
      <c r="N50" s="30">
        <f t="shared" si="12"/>
        <v>0</v>
      </c>
      <c r="O50" s="31">
        <f t="shared" si="11"/>
        <v>0</v>
      </c>
      <c r="Q50" s="107"/>
      <c r="S50" s="107"/>
      <c r="U50" s="107"/>
      <c r="W50" s="107"/>
    </row>
    <row r="51" spans="2:23" ht="25.5" x14ac:dyDescent="0.2">
      <c r="B51" s="56" t="s">
        <v>32</v>
      </c>
      <c r="C51" s="35"/>
      <c r="D51" s="35"/>
      <c r="E51" s="35"/>
      <c r="F51" s="67"/>
      <c r="G51" s="59"/>
      <c r="H51" s="60">
        <f>SUM(H48:H50)</f>
        <v>20.701493250000006</v>
      </c>
      <c r="I51" s="68"/>
      <c r="J51" s="69"/>
      <c r="K51" s="59"/>
      <c r="L51" s="60">
        <f>SUM(L48:L50)</f>
        <v>21.544656200000006</v>
      </c>
      <c r="M51" s="68"/>
      <c r="N51" s="43">
        <f t="shared" si="12"/>
        <v>0.84316294999999997</v>
      </c>
      <c r="O51" s="44">
        <f t="shared" si="11"/>
        <v>4.0729571524991307E-2</v>
      </c>
      <c r="Q51" s="102"/>
      <c r="S51" s="102"/>
      <c r="U51" s="102"/>
      <c r="W51" s="102"/>
    </row>
    <row r="52" spans="2:23" ht="25.5" x14ac:dyDescent="0.2">
      <c r="B52" s="71" t="s">
        <v>33</v>
      </c>
      <c r="C52" s="21"/>
      <c r="D52" s="22" t="s">
        <v>21</v>
      </c>
      <c r="E52" s="23"/>
      <c r="F52" s="72">
        <f>'Proposed Rates'!D186</f>
        <v>3.5999999999999999E-3</v>
      </c>
      <c r="G52" s="64">
        <f>+G49</f>
        <v>485.74500000000006</v>
      </c>
      <c r="H52" s="73">
        <f t="shared" ref="H52:H59" si="13">G52*F52</f>
        <v>1.7486820000000001</v>
      </c>
      <c r="I52" s="27"/>
      <c r="J52" s="72">
        <f>F52</f>
        <v>3.5999999999999999E-3</v>
      </c>
      <c r="K52" s="64">
        <f>+K49</f>
        <v>485.74500000000006</v>
      </c>
      <c r="L52" s="73">
        <f t="shared" ref="L52:L59" si="14">K52*J52</f>
        <v>1.7486820000000001</v>
      </c>
      <c r="M52" s="27"/>
      <c r="N52" s="30">
        <f t="shared" si="12"/>
        <v>0</v>
      </c>
      <c r="O52" s="74">
        <f t="shared" si="11"/>
        <v>0</v>
      </c>
      <c r="Q52" s="107"/>
      <c r="S52" s="107"/>
      <c r="U52" s="107"/>
      <c r="W52" s="107"/>
    </row>
    <row r="53" spans="2:23" ht="25.5" x14ac:dyDescent="0.2">
      <c r="B53" s="71" t="s">
        <v>34</v>
      </c>
      <c r="C53" s="21"/>
      <c r="D53" s="22" t="s">
        <v>21</v>
      </c>
      <c r="E53" s="23"/>
      <c r="F53" s="72">
        <f>'Proposed Rates'!D191</f>
        <v>1.2999999999999999E-3</v>
      </c>
      <c r="G53" s="64">
        <f>+G49</f>
        <v>485.74500000000006</v>
      </c>
      <c r="H53" s="73">
        <f t="shared" si="13"/>
        <v>0.6314685000000001</v>
      </c>
      <c r="I53" s="27"/>
      <c r="J53" s="72">
        <f>F53</f>
        <v>1.2999999999999999E-3</v>
      </c>
      <c r="K53" s="64">
        <f>+K49</f>
        <v>485.74500000000006</v>
      </c>
      <c r="L53" s="73">
        <f t="shared" si="14"/>
        <v>0.6314685000000001</v>
      </c>
      <c r="M53" s="27"/>
      <c r="N53" s="30">
        <f t="shared" si="12"/>
        <v>0</v>
      </c>
      <c r="O53" s="74">
        <f t="shared" si="11"/>
        <v>0</v>
      </c>
      <c r="Q53" s="107"/>
      <c r="S53" s="107"/>
      <c r="U53" s="107"/>
      <c r="W53" s="107"/>
    </row>
    <row r="54" spans="2:23" x14ac:dyDescent="0.2">
      <c r="B54" s="21" t="s">
        <v>35</v>
      </c>
      <c r="C54" s="21"/>
      <c r="D54" s="22" t="s">
        <v>18</v>
      </c>
      <c r="E54" s="23"/>
      <c r="F54" s="72">
        <f>'Proposed Rates'!D196</f>
        <v>0.25</v>
      </c>
      <c r="G54" s="25">
        <v>1</v>
      </c>
      <c r="H54" s="73">
        <f t="shared" si="13"/>
        <v>0.25</v>
      </c>
      <c r="I54" s="27"/>
      <c r="J54" s="72">
        <f>'Proposed Rates'!E196</f>
        <v>0.25</v>
      </c>
      <c r="K54" s="29">
        <v>1</v>
      </c>
      <c r="L54" s="73">
        <f t="shared" si="14"/>
        <v>0.25</v>
      </c>
      <c r="M54" s="27"/>
      <c r="N54" s="30">
        <f t="shared" si="12"/>
        <v>0</v>
      </c>
      <c r="O54" s="74">
        <f t="shared" si="11"/>
        <v>0</v>
      </c>
      <c r="Q54" s="107"/>
      <c r="S54" s="107"/>
      <c r="U54" s="107"/>
      <c r="W54" s="107"/>
    </row>
    <row r="55" spans="2:23" x14ac:dyDescent="0.2">
      <c r="B55" s="21" t="s">
        <v>122</v>
      </c>
      <c r="C55" s="21"/>
      <c r="D55" s="22"/>
      <c r="E55" s="23"/>
      <c r="F55" s="72">
        <f>'Proposed Rates'!D221</f>
        <v>1.1000000000000001E-3</v>
      </c>
      <c r="G55" s="64">
        <f>G53</f>
        <v>485.74500000000006</v>
      </c>
      <c r="H55" s="73">
        <f>G55*F55</f>
        <v>0.53431950000000006</v>
      </c>
      <c r="I55" s="27"/>
      <c r="J55" s="72">
        <f>F55</f>
        <v>1.1000000000000001E-3</v>
      </c>
      <c r="K55" s="64">
        <f>K53</f>
        <v>485.74500000000006</v>
      </c>
      <c r="L55" s="73">
        <f>K55*J55</f>
        <v>0.53431950000000006</v>
      </c>
      <c r="M55" s="27"/>
      <c r="N55" s="30"/>
      <c r="O55" s="74"/>
      <c r="Q55" s="107"/>
      <c r="S55" s="107"/>
      <c r="U55" s="107"/>
      <c r="W55" s="107"/>
    </row>
    <row r="56" spans="2:23" x14ac:dyDescent="0.2">
      <c r="B56" s="21" t="s">
        <v>36</v>
      </c>
      <c r="C56" s="21"/>
      <c r="D56" s="22"/>
      <c r="E56" s="23"/>
      <c r="F56" s="72">
        <f>'Proposed Rates'!D216</f>
        <v>6.94E-3</v>
      </c>
      <c r="G56" s="75">
        <f>$F$18</f>
        <v>470</v>
      </c>
      <c r="H56" s="73">
        <f t="shared" si="13"/>
        <v>3.2618</v>
      </c>
      <c r="I56" s="27"/>
      <c r="J56" s="72">
        <f>+F56</f>
        <v>6.94E-3</v>
      </c>
      <c r="K56" s="76">
        <f>$F$18</f>
        <v>470</v>
      </c>
      <c r="L56" s="73">
        <f t="shared" si="14"/>
        <v>3.2618</v>
      </c>
      <c r="M56" s="27"/>
      <c r="N56" s="30">
        <f t="shared" si="12"/>
        <v>0</v>
      </c>
      <c r="O56" s="74">
        <f t="shared" si="11"/>
        <v>0</v>
      </c>
      <c r="Q56" s="107"/>
      <c r="S56" s="107"/>
      <c r="U56" s="107"/>
      <c r="W56" s="107"/>
    </row>
    <row r="57" spans="2:23" x14ac:dyDescent="0.2">
      <c r="B57" s="49" t="s">
        <v>37</v>
      </c>
      <c r="C57" s="21"/>
      <c r="D57" s="22"/>
      <c r="E57" s="23"/>
      <c r="F57" s="72">
        <f>'Proposed Rates'!D226</f>
        <v>8.6999999999999994E-2</v>
      </c>
      <c r="G57" s="77">
        <f>0.65*$F$18</f>
        <v>305.5</v>
      </c>
      <c r="H57" s="73">
        <f t="shared" si="13"/>
        <v>26.578499999999998</v>
      </c>
      <c r="I57" s="27"/>
      <c r="J57" s="72">
        <f>F57</f>
        <v>8.6999999999999994E-2</v>
      </c>
      <c r="K57" s="77">
        <f>$G$57</f>
        <v>305.5</v>
      </c>
      <c r="L57" s="73">
        <f t="shared" si="14"/>
        <v>26.578499999999998</v>
      </c>
      <c r="M57" s="27"/>
      <c r="N57" s="30">
        <f t="shared" si="12"/>
        <v>0</v>
      </c>
      <c r="O57" s="74">
        <f t="shared" si="11"/>
        <v>0</v>
      </c>
      <c r="Q57" s="107"/>
      <c r="S57" s="107"/>
      <c r="U57" s="107"/>
      <c r="W57" s="107"/>
    </row>
    <row r="58" spans="2:23" x14ac:dyDescent="0.2">
      <c r="B58" s="49" t="s">
        <v>38</v>
      </c>
      <c r="C58" s="21"/>
      <c r="D58" s="22"/>
      <c r="E58" s="23"/>
      <c r="F58" s="72">
        <f>'Proposed Rates'!D227</f>
        <v>0.13200000000000001</v>
      </c>
      <c r="G58" s="77">
        <f>0.17*$F$18</f>
        <v>79.900000000000006</v>
      </c>
      <c r="H58" s="73">
        <f t="shared" si="13"/>
        <v>10.546800000000001</v>
      </c>
      <c r="I58" s="27"/>
      <c r="J58" s="72">
        <f>F58</f>
        <v>0.13200000000000001</v>
      </c>
      <c r="K58" s="77">
        <f>$G$58</f>
        <v>79.900000000000006</v>
      </c>
      <c r="L58" s="73">
        <f t="shared" si="14"/>
        <v>10.546800000000001</v>
      </c>
      <c r="M58" s="27"/>
      <c r="N58" s="30">
        <f t="shared" si="12"/>
        <v>0</v>
      </c>
      <c r="O58" s="74">
        <f t="shared" si="11"/>
        <v>0</v>
      </c>
      <c r="Q58" s="107"/>
      <c r="S58" s="107"/>
      <c r="U58" s="107"/>
      <c r="W58" s="107"/>
    </row>
    <row r="59" spans="2:23" x14ac:dyDescent="0.2">
      <c r="B59" s="11" t="s">
        <v>39</v>
      </c>
      <c r="C59" s="21"/>
      <c r="D59" s="22"/>
      <c r="E59" s="23"/>
      <c r="F59" s="72">
        <f>'Proposed Rates'!D228</f>
        <v>0.18</v>
      </c>
      <c r="G59" s="77">
        <f>0.18*$F$18</f>
        <v>84.6</v>
      </c>
      <c r="H59" s="73">
        <f t="shared" si="13"/>
        <v>15.227999999999998</v>
      </c>
      <c r="I59" s="27"/>
      <c r="J59" s="72">
        <f>F59</f>
        <v>0.18</v>
      </c>
      <c r="K59" s="77">
        <f>$G$59</f>
        <v>84.6</v>
      </c>
      <c r="L59" s="73">
        <f t="shared" si="14"/>
        <v>15.227999999999998</v>
      </c>
      <c r="M59" s="27"/>
      <c r="N59" s="30">
        <f t="shared" si="12"/>
        <v>0</v>
      </c>
      <c r="O59" s="74">
        <f t="shared" si="11"/>
        <v>0</v>
      </c>
      <c r="Q59" s="107"/>
      <c r="S59" s="107"/>
      <c r="U59" s="107"/>
      <c r="W59" s="107"/>
    </row>
    <row r="60" spans="2:23" s="85" customFormat="1" x14ac:dyDescent="0.2">
      <c r="B60" s="78" t="s">
        <v>40</v>
      </c>
      <c r="C60" s="79"/>
      <c r="D60" s="80"/>
      <c r="E60" s="81"/>
      <c r="F60" s="72">
        <f>'Proposed Rates'!D229</f>
        <v>0.10299999999999999</v>
      </c>
      <c r="G60" s="82">
        <f>IF(AND($Q$1=1, F18&gt;=600), 600, IF(AND($Q$1=1, AND(F18&lt;600, F18&gt;=0)), F18, IF(AND($Q$1=2, F18&gt;=1000), 1000, IF(AND($Q$1=2, AND(F18&lt;1000, F18&gt;=0)), F18))))</f>
        <v>470</v>
      </c>
      <c r="H60" s="73">
        <f>G60*F60</f>
        <v>48.41</v>
      </c>
      <c r="I60" s="83"/>
      <c r="J60" s="72">
        <f>F60</f>
        <v>0.10299999999999999</v>
      </c>
      <c r="K60" s="82">
        <f>$G$60</f>
        <v>470</v>
      </c>
      <c r="L60" s="73">
        <f>K60*J60</f>
        <v>48.41</v>
      </c>
      <c r="M60" s="83"/>
      <c r="N60" s="84">
        <f t="shared" si="12"/>
        <v>0</v>
      </c>
      <c r="O60" s="74">
        <f t="shared" si="11"/>
        <v>0</v>
      </c>
      <c r="Q60" s="143"/>
      <c r="R60" s="212"/>
      <c r="S60" s="143"/>
      <c r="T60" s="212"/>
      <c r="U60" s="143"/>
      <c r="V60" s="212"/>
      <c r="W60" s="143"/>
    </row>
    <row r="61" spans="2:23" s="85" customFormat="1" ht="13.5" thickBot="1" x14ac:dyDescent="0.25">
      <c r="B61" s="78" t="s">
        <v>41</v>
      </c>
      <c r="C61" s="79"/>
      <c r="D61" s="80"/>
      <c r="E61" s="81"/>
      <c r="F61" s="72">
        <f>'Proposed Rates'!D230</f>
        <v>0.121</v>
      </c>
      <c r="G61" s="82">
        <f>IF(AND($Q$1=1, F18&gt;=600), F18-600, IF(AND($Q$1=1, AND(F18&lt;600, F18&gt;=0)), 0, IF(AND($Q$1=2, F18&gt;=1000), F18-1000, IF(AND($Q$1=2, AND(F18&lt;1000, F18&gt;=0)), 0))))</f>
        <v>0</v>
      </c>
      <c r="H61" s="73">
        <f>G61*F61</f>
        <v>0</v>
      </c>
      <c r="I61" s="83"/>
      <c r="J61" s="72">
        <f>F61</f>
        <v>0.121</v>
      </c>
      <c r="K61" s="82">
        <f>$G$61</f>
        <v>0</v>
      </c>
      <c r="L61" s="73">
        <f>K61*J61</f>
        <v>0</v>
      </c>
      <c r="M61" s="83"/>
      <c r="N61" s="84">
        <f t="shared" si="12"/>
        <v>0</v>
      </c>
      <c r="O61" s="74" t="str">
        <f t="shared" si="11"/>
        <v/>
      </c>
      <c r="Q61" s="143"/>
      <c r="R61" s="212"/>
      <c r="S61" s="143"/>
      <c r="T61" s="212"/>
      <c r="U61" s="143"/>
      <c r="V61" s="212"/>
      <c r="W61" s="143"/>
    </row>
    <row r="62" spans="2:23" ht="8.25" customHeight="1" thickBot="1" x14ac:dyDescent="0.25">
      <c r="B62" s="86"/>
      <c r="C62" s="87"/>
      <c r="D62" s="88"/>
      <c r="E62" s="87"/>
      <c r="F62" s="89"/>
      <c r="G62" s="90"/>
      <c r="H62" s="91"/>
      <c r="I62" s="92"/>
      <c r="J62" s="89"/>
      <c r="K62" s="93"/>
      <c r="L62" s="91"/>
      <c r="M62" s="92"/>
      <c r="N62" s="94"/>
      <c r="O62" s="95"/>
      <c r="Q62" s="107"/>
      <c r="S62" s="107"/>
      <c r="U62" s="107"/>
      <c r="W62" s="107"/>
    </row>
    <row r="63" spans="2:23" x14ac:dyDescent="0.2">
      <c r="B63" s="96" t="s">
        <v>42</v>
      </c>
      <c r="C63" s="21"/>
      <c r="D63" s="21"/>
      <c r="E63" s="21"/>
      <c r="F63" s="97"/>
      <c r="G63" s="98"/>
      <c r="H63" s="99">
        <f>SUM(H52:H59,H51)</f>
        <v>79.481063250000005</v>
      </c>
      <c r="I63" s="100"/>
      <c r="J63" s="101"/>
      <c r="K63" s="101"/>
      <c r="L63" s="99">
        <f>SUM(L52:L59,L51)</f>
        <v>80.324226199999998</v>
      </c>
      <c r="M63" s="102"/>
      <c r="N63" s="103">
        <f t="shared" ref="N63" si="15">L63-H63</f>
        <v>0.84316294999999286</v>
      </c>
      <c r="O63" s="104">
        <f t="shared" ref="O63" si="16">IF((H63)=0,"",(N63/H63))</f>
        <v>1.0608350159432383E-2</v>
      </c>
      <c r="Q63" s="102"/>
      <c r="S63" s="102"/>
      <c r="U63" s="102"/>
      <c r="W63" s="102"/>
    </row>
    <row r="64" spans="2:23" x14ac:dyDescent="0.2">
      <c r="B64" s="105" t="s">
        <v>43</v>
      </c>
      <c r="C64" s="21"/>
      <c r="D64" s="21"/>
      <c r="E64" s="21"/>
      <c r="F64" s="106">
        <v>0.13</v>
      </c>
      <c r="G64" s="107"/>
      <c r="H64" s="108">
        <f>H63*F64</f>
        <v>10.3325382225</v>
      </c>
      <c r="I64" s="109"/>
      <c r="J64" s="110">
        <v>0.13</v>
      </c>
      <c r="K64" s="109"/>
      <c r="L64" s="111">
        <f>L63*J64</f>
        <v>10.442149406</v>
      </c>
      <c r="M64" s="112"/>
      <c r="N64" s="113">
        <f t="shared" si="12"/>
        <v>0.10961118350000021</v>
      </c>
      <c r="O64" s="114">
        <f t="shared" si="11"/>
        <v>1.0608350159432494E-2</v>
      </c>
      <c r="Q64" s="112"/>
      <c r="S64" s="112"/>
      <c r="U64" s="112"/>
      <c r="W64" s="112"/>
    </row>
    <row r="65" spans="1:23" ht="13.5" thickBot="1" x14ac:dyDescent="0.25">
      <c r="B65" s="115" t="s">
        <v>44</v>
      </c>
      <c r="C65" s="21"/>
      <c r="D65" s="21"/>
      <c r="E65" s="21"/>
      <c r="F65" s="116"/>
      <c r="G65" s="107"/>
      <c r="H65" s="99">
        <f>H63+H64</f>
        <v>89.813601472500011</v>
      </c>
      <c r="I65" s="109"/>
      <c r="J65" s="109"/>
      <c r="K65" s="109"/>
      <c r="L65" s="220">
        <f>L63+L64</f>
        <v>90.766375605999997</v>
      </c>
      <c r="M65" s="112"/>
      <c r="N65" s="103">
        <f t="shared" si="12"/>
        <v>0.95277413349998596</v>
      </c>
      <c r="O65" s="104">
        <f t="shared" si="11"/>
        <v>1.0608350159432315E-2</v>
      </c>
      <c r="Q65" s="112"/>
      <c r="S65" s="112"/>
      <c r="U65" s="112"/>
      <c r="W65" s="112"/>
    </row>
    <row r="66" spans="1:23" s="85" customFormat="1" ht="8.25" customHeight="1" thickBot="1" x14ac:dyDescent="0.25">
      <c r="B66" s="117"/>
      <c r="C66" s="118"/>
      <c r="D66" s="119"/>
      <c r="E66" s="118"/>
      <c r="F66" s="89"/>
      <c r="G66" s="120"/>
      <c r="H66" s="91"/>
      <c r="I66" s="121"/>
      <c r="J66" s="89"/>
      <c r="K66" s="122"/>
      <c r="L66" s="91"/>
      <c r="M66" s="121"/>
      <c r="N66" s="123"/>
      <c r="O66" s="95"/>
      <c r="Q66" s="143"/>
      <c r="R66" s="212"/>
      <c r="S66" s="143"/>
      <c r="T66" s="212"/>
      <c r="U66" s="143"/>
      <c r="V66" s="212"/>
      <c r="W66" s="143"/>
    </row>
    <row r="67" spans="1:23" s="85" customFormat="1" x14ac:dyDescent="0.2">
      <c r="B67" s="124" t="s">
        <v>45</v>
      </c>
      <c r="C67" s="79"/>
      <c r="D67" s="79"/>
      <c r="E67" s="79"/>
      <c r="F67" s="125"/>
      <c r="G67" s="126"/>
      <c r="H67" s="127">
        <f>SUM(H60:H61,H51,H52:H56)</f>
        <v>75.537763249999983</v>
      </c>
      <c r="I67" s="128"/>
      <c r="J67" s="129"/>
      <c r="K67" s="129"/>
      <c r="L67" s="127">
        <f>SUM(L60:L61,L51,L52:L56)</f>
        <v>76.38092619999999</v>
      </c>
      <c r="M67" s="130"/>
      <c r="N67" s="131">
        <f t="shared" ref="N67:N69" si="17">L67-H67</f>
        <v>0.84316295000000707</v>
      </c>
      <c r="O67" s="104">
        <f t="shared" ref="O67:O69" si="18">IF((H67)=0,"",(N67/H67))</f>
        <v>1.1162138164052763E-2</v>
      </c>
      <c r="Q67" s="130"/>
      <c r="R67" s="212"/>
      <c r="S67" s="130"/>
      <c r="T67" s="212"/>
      <c r="U67" s="130"/>
      <c r="V67" s="212"/>
      <c r="W67" s="130"/>
    </row>
    <row r="68" spans="1:23" s="85" customFormat="1" x14ac:dyDescent="0.2">
      <c r="B68" s="132" t="s">
        <v>43</v>
      </c>
      <c r="C68" s="79"/>
      <c r="D68" s="79"/>
      <c r="E68" s="79"/>
      <c r="F68" s="133">
        <v>0.13</v>
      </c>
      <c r="G68" s="126"/>
      <c r="H68" s="134">
        <f>H67*F68</f>
        <v>9.819909222499998</v>
      </c>
      <c r="I68" s="135"/>
      <c r="J68" s="136">
        <v>0.13</v>
      </c>
      <c r="K68" s="137"/>
      <c r="L68" s="138">
        <f>L67*J68</f>
        <v>9.929520406</v>
      </c>
      <c r="M68" s="139"/>
      <c r="N68" s="140">
        <f t="shared" si="17"/>
        <v>0.10961118350000199</v>
      </c>
      <c r="O68" s="114">
        <f t="shared" si="18"/>
        <v>1.1162138164052871E-2</v>
      </c>
      <c r="Q68" s="139"/>
      <c r="R68" s="212"/>
      <c r="S68" s="139"/>
      <c r="T68" s="212"/>
      <c r="U68" s="139"/>
      <c r="V68" s="212"/>
      <c r="W68" s="139"/>
    </row>
    <row r="69" spans="1:23" s="85" customFormat="1" ht="13.5" thickBot="1" x14ac:dyDescent="0.25">
      <c r="B69" s="141" t="s">
        <v>44</v>
      </c>
      <c r="C69" s="79"/>
      <c r="D69" s="79"/>
      <c r="E69" s="79"/>
      <c r="F69" s="142"/>
      <c r="G69" s="143"/>
      <c r="H69" s="127">
        <f>H67+H68</f>
        <v>85.357672472499985</v>
      </c>
      <c r="I69" s="135"/>
      <c r="J69" s="135"/>
      <c r="K69" s="135"/>
      <c r="L69" s="219">
        <f>L67+L68</f>
        <v>86.310446605999985</v>
      </c>
      <c r="M69" s="139"/>
      <c r="N69" s="131">
        <f t="shared" si="17"/>
        <v>0.95277413350000018</v>
      </c>
      <c r="O69" s="104">
        <f t="shared" si="18"/>
        <v>1.1162138164052671E-2</v>
      </c>
      <c r="Q69" s="139"/>
      <c r="R69" s="212"/>
      <c r="S69" s="139"/>
      <c r="T69" s="212"/>
      <c r="U69" s="139"/>
      <c r="V69" s="212"/>
      <c r="W69" s="139"/>
    </row>
    <row r="70" spans="1:23" s="85" customFormat="1" ht="8.25" customHeight="1" thickBot="1" x14ac:dyDescent="0.25">
      <c r="B70" s="117"/>
      <c r="C70" s="118"/>
      <c r="D70" s="119"/>
      <c r="E70" s="118"/>
      <c r="F70" s="144"/>
      <c r="G70" s="145"/>
      <c r="H70" s="146"/>
      <c r="I70" s="147"/>
      <c r="J70" s="144"/>
      <c r="K70" s="120"/>
      <c r="L70" s="148"/>
      <c r="M70" s="121"/>
      <c r="N70" s="149"/>
      <c r="O70" s="95"/>
      <c r="Q70" s="143"/>
      <c r="R70" s="212"/>
      <c r="S70" s="143"/>
      <c r="T70" s="212"/>
      <c r="U70" s="143"/>
      <c r="V70" s="212"/>
      <c r="W70" s="143"/>
    </row>
    <row r="71" spans="1:23" x14ac:dyDescent="0.2">
      <c r="L71" s="150"/>
    </row>
    <row r="72" spans="1:23" x14ac:dyDescent="0.2">
      <c r="B72" s="12" t="s">
        <v>46</v>
      </c>
      <c r="F72" s="151">
        <f>'Proposed Rates'!D208</f>
        <v>3.3500000000000002E-2</v>
      </c>
      <c r="J72" s="151">
        <f>+'Res (100)'!J70</f>
        <v>3.3500000000000002E-2</v>
      </c>
    </row>
    <row r="73" spans="1:23" ht="13.5" thickBot="1" x14ac:dyDescent="0.25"/>
    <row r="74" spans="1:23" ht="8.25" customHeight="1" thickBot="1" x14ac:dyDescent="0.25">
      <c r="B74" s="86"/>
      <c r="C74" s="87"/>
      <c r="D74" s="88"/>
      <c r="E74" s="87"/>
      <c r="F74" s="89"/>
      <c r="G74" s="90"/>
      <c r="H74" s="91"/>
      <c r="I74" s="92"/>
      <c r="J74" s="89"/>
      <c r="K74" s="93"/>
      <c r="L74" s="91"/>
      <c r="M74" s="92"/>
      <c r="N74" s="94"/>
      <c r="O74" s="95"/>
      <c r="Q74" s="107"/>
      <c r="S74" s="107"/>
      <c r="U74" s="107"/>
      <c r="W74" s="107"/>
    </row>
    <row r="75" spans="1:23" x14ac:dyDescent="0.2">
      <c r="B75" s="96" t="s">
        <v>42</v>
      </c>
      <c r="C75" s="21"/>
      <c r="D75" s="21"/>
      <c r="E75" s="21"/>
      <c r="F75" s="97"/>
      <c r="G75" s="98"/>
      <c r="H75" s="99">
        <f>+H63-H31-H40-H41-H43</f>
        <v>80.813043250000007</v>
      </c>
      <c r="I75" s="100"/>
      <c r="J75" s="101"/>
      <c r="K75" s="101"/>
      <c r="L75" s="99">
        <f>+L63-L31-L40-L41-L43</f>
        <v>81.405226200000001</v>
      </c>
      <c r="M75" s="102"/>
      <c r="N75" s="103">
        <f t="shared" ref="N75:N77" si="19">L75-H75</f>
        <v>0.59218294999999443</v>
      </c>
      <c r="O75" s="104">
        <f t="shared" ref="O75:O77" si="20">IF((H75)=0,"",(N75/H75))</f>
        <v>7.3278140035890104E-3</v>
      </c>
      <c r="Q75" s="102"/>
      <c r="S75" s="102"/>
      <c r="U75" s="102"/>
      <c r="W75" s="102"/>
    </row>
    <row r="76" spans="1:23" x14ac:dyDescent="0.2">
      <c r="B76" s="105" t="s">
        <v>43</v>
      </c>
      <c r="C76" s="21"/>
      <c r="D76" s="21"/>
      <c r="E76" s="21"/>
      <c r="F76" s="106">
        <v>0.13</v>
      </c>
      <c r="G76" s="107"/>
      <c r="H76" s="108">
        <f>H75*F76</f>
        <v>10.505695622500001</v>
      </c>
      <c r="I76" s="109"/>
      <c r="J76" s="110">
        <v>0.13</v>
      </c>
      <c r="K76" s="109"/>
      <c r="L76" s="111">
        <f>L75*J76</f>
        <v>10.582679406</v>
      </c>
      <c r="M76" s="112"/>
      <c r="N76" s="113">
        <f t="shared" si="19"/>
        <v>7.6983783499999348E-2</v>
      </c>
      <c r="O76" s="114">
        <f t="shared" si="20"/>
        <v>7.3278140035890173E-3</v>
      </c>
      <c r="Q76" s="112"/>
      <c r="S76" s="112"/>
      <c r="U76" s="112"/>
      <c r="W76" s="112"/>
    </row>
    <row r="77" spans="1:23" x14ac:dyDescent="0.2">
      <c r="B77" s="115" t="s">
        <v>44</v>
      </c>
      <c r="C77" s="21"/>
      <c r="D77" s="21"/>
      <c r="E77" s="21"/>
      <c r="F77" s="213"/>
      <c r="G77" s="214"/>
      <c r="H77" s="225">
        <f>H75+H76</f>
        <v>91.318738872500006</v>
      </c>
      <c r="I77" s="215"/>
      <c r="J77" s="215"/>
      <c r="K77" s="215"/>
      <c r="L77" s="224">
        <f>L75+L76</f>
        <v>91.987905605999998</v>
      </c>
      <c r="M77" s="216"/>
      <c r="N77" s="223">
        <f t="shared" si="19"/>
        <v>0.66916673349999201</v>
      </c>
      <c r="O77" s="222">
        <f t="shared" si="20"/>
        <v>7.3278140035889922E-3</v>
      </c>
      <c r="Q77" s="112"/>
      <c r="S77" s="112"/>
      <c r="U77" s="112"/>
      <c r="W77" s="112"/>
    </row>
    <row r="78" spans="1:23" ht="13.5" customHeight="1" x14ac:dyDescent="0.2">
      <c r="Q78" s="210"/>
      <c r="R78" s="210"/>
      <c r="S78" s="6"/>
      <c r="T78" s="6"/>
      <c r="U78" s="6"/>
      <c r="V78" s="6"/>
      <c r="W78" s="6"/>
    </row>
    <row r="79" spans="1:23" ht="12" customHeight="1" x14ac:dyDescent="0.2">
      <c r="A79" s="6" t="s">
        <v>47</v>
      </c>
      <c r="Q79" s="210"/>
      <c r="R79" s="210"/>
      <c r="S79" s="6"/>
      <c r="T79" s="6"/>
      <c r="U79" s="6"/>
      <c r="V79" s="6"/>
      <c r="W79" s="6"/>
    </row>
    <row r="80" spans="1:23" x14ac:dyDescent="0.2">
      <c r="A80" s="6" t="s">
        <v>48</v>
      </c>
      <c r="Q80" s="210"/>
      <c r="R80" s="210"/>
      <c r="S80" s="6"/>
      <c r="T80" s="6"/>
      <c r="U80" s="6"/>
      <c r="V80" s="6"/>
      <c r="W80" s="6"/>
    </row>
    <row r="81" spans="1:23" x14ac:dyDescent="0.2">
      <c r="Q81" s="210"/>
      <c r="R81" s="210"/>
      <c r="S81" s="6"/>
      <c r="T81" s="6"/>
      <c r="U81" s="6"/>
      <c r="V81" s="6"/>
      <c r="W81" s="6"/>
    </row>
    <row r="82" spans="1:23" x14ac:dyDescent="0.2">
      <c r="A82" s="153" t="s">
        <v>136</v>
      </c>
      <c r="Q82" s="210"/>
      <c r="R82" s="210"/>
      <c r="S82" s="6"/>
      <c r="T82" s="6"/>
      <c r="U82" s="6"/>
      <c r="V82" s="6"/>
      <c r="W82" s="6"/>
    </row>
    <row r="83" spans="1:23" x14ac:dyDescent="0.2">
      <c r="A83" s="11" t="s">
        <v>49</v>
      </c>
      <c r="Q83" s="210"/>
      <c r="R83" s="210"/>
      <c r="S83" s="6"/>
      <c r="T83" s="6"/>
      <c r="U83" s="6"/>
      <c r="V83" s="6"/>
      <c r="W83" s="6"/>
    </row>
    <row r="84" spans="1:23" x14ac:dyDescent="0.2">
      <c r="Q84" s="210"/>
      <c r="R84" s="210"/>
      <c r="S84" s="6"/>
      <c r="T84" s="6"/>
      <c r="U84" s="6"/>
      <c r="V84" s="6"/>
      <c r="W84" s="6"/>
    </row>
    <row r="85" spans="1:23" x14ac:dyDescent="0.2">
      <c r="A85" s="6" t="s">
        <v>135</v>
      </c>
      <c r="Q85" s="210"/>
      <c r="R85" s="210"/>
      <c r="S85" s="6"/>
      <c r="T85" s="6"/>
      <c r="U85" s="6"/>
      <c r="V85" s="6"/>
      <c r="W85" s="6"/>
    </row>
    <row r="86" spans="1:23" x14ac:dyDescent="0.2">
      <c r="A86" s="6" t="s">
        <v>50</v>
      </c>
      <c r="Q86" s="210"/>
      <c r="R86" s="210"/>
      <c r="S86" s="6"/>
      <c r="T86" s="6"/>
      <c r="U86" s="6"/>
      <c r="V86" s="6"/>
      <c r="W86" s="6"/>
    </row>
    <row r="87" spans="1:23" x14ac:dyDescent="0.2">
      <c r="A87" s="6" t="s">
        <v>51</v>
      </c>
      <c r="Q87" s="210"/>
      <c r="R87" s="210"/>
      <c r="S87" s="6"/>
      <c r="T87" s="6"/>
      <c r="U87" s="6"/>
      <c r="V87" s="6"/>
      <c r="W87" s="6"/>
    </row>
    <row r="88" spans="1:23" x14ac:dyDescent="0.2">
      <c r="A88" s="6" t="s">
        <v>52</v>
      </c>
      <c r="Q88" s="210"/>
      <c r="R88" s="210"/>
      <c r="S88" s="6"/>
      <c r="T88" s="6"/>
      <c r="U88" s="6"/>
      <c r="V88" s="6"/>
      <c r="W88" s="6"/>
    </row>
    <row r="89" spans="1:23" x14ac:dyDescent="0.2">
      <c r="A89" s="6" t="s">
        <v>53</v>
      </c>
      <c r="Q89" s="210"/>
      <c r="R89" s="210"/>
      <c r="S89" s="6"/>
      <c r="T89" s="6"/>
      <c r="U89" s="6"/>
      <c r="V89" s="6"/>
      <c r="W89" s="6"/>
    </row>
    <row r="90" spans="1:23" x14ac:dyDescent="0.2">
      <c r="Q90" s="210"/>
      <c r="R90" s="210"/>
      <c r="S90" s="6"/>
      <c r="T90" s="6"/>
      <c r="U90" s="6"/>
      <c r="V90" s="6"/>
      <c r="W90" s="6"/>
    </row>
    <row r="91" spans="1:23" x14ac:dyDescent="0.2">
      <c r="A91" s="152"/>
      <c r="B91" s="6" t="s">
        <v>54</v>
      </c>
      <c r="Q91" s="210"/>
      <c r="R91" s="210"/>
      <c r="S91" s="6"/>
      <c r="T91" s="6"/>
      <c r="U91" s="6"/>
      <c r="V91" s="6"/>
      <c r="W91" s="6"/>
    </row>
    <row r="92" spans="1:23" x14ac:dyDescent="0.2">
      <c r="Q92" s="210"/>
      <c r="R92" s="210"/>
      <c r="S92" s="6"/>
      <c r="T92" s="6"/>
      <c r="U92" s="6"/>
      <c r="V92" s="6"/>
      <c r="W92" s="6"/>
    </row>
    <row r="93" spans="1:23" x14ac:dyDescent="0.2">
      <c r="B93" s="153" t="s">
        <v>55</v>
      </c>
      <c r="Q93" s="210"/>
      <c r="R93" s="210"/>
      <c r="S93" s="6"/>
      <c r="T93" s="6"/>
      <c r="U93" s="6"/>
      <c r="V93" s="6"/>
      <c r="W93"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0 D66 D23:D38 D52:D62 D40:D47 D49:D50 D74">
      <formula1>"Monthly, per kWh, per kW"</formula1>
    </dataValidation>
    <dataValidation type="list" allowBlank="1" showInputMessage="1" showErrorMessage="1" sqref="E49:E50 E70 E66 E52:E62 E23:E38 E40:E47 E74">
      <formula1>#REF!</formula1>
    </dataValidation>
  </dataValidations>
  <pageMargins left="0.74803149606299213" right="0.74803149606299213" top="0.98425196850393704" bottom="0.98425196850393704" header="0.51181102362204722" footer="0.51181102362204722"/>
  <pageSetup scale="55" fitToWidth="2"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6</xdr:col>
                    <xdr:colOff>466725</xdr:colOff>
                    <xdr:row>16</xdr:row>
                    <xdr:rowOff>190500</xdr:rowOff>
                  </from>
                  <to>
                    <xdr:col>9</xdr:col>
                    <xdr:colOff>542925</xdr:colOff>
                    <xdr:row>18</xdr:row>
                    <xdr:rowOff>47625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9</xdr:col>
                    <xdr:colOff>352425</xdr:colOff>
                    <xdr:row>16</xdr:row>
                    <xdr:rowOff>133350</xdr:rowOff>
                  </from>
                  <to>
                    <xdr:col>15</xdr:col>
                    <xdr:colOff>190500</xdr:colOff>
                    <xdr:row>18</xdr:row>
                    <xdr:rowOff>152400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W93"/>
  <sheetViews>
    <sheetView showGridLines="0" view="pageBreakPreview" zoomScale="70" zoomScaleNormal="85" zoomScaleSheetLayoutView="70" workbookViewId="0">
      <selection activeCell="O41" sqref="O4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8.5703125" style="6" customWidth="1"/>
    <col min="8" max="8" width="12.5703125" style="6" bestFit="1" customWidth="1"/>
    <col min="9" max="9" width="2.85546875" style="6" customWidth="1"/>
    <col min="10" max="10" width="12.140625" style="6" customWidth="1"/>
    <col min="11" max="11" width="10.42578125" style="6" customWidth="1"/>
    <col min="12" max="12" width="12.5703125" style="6" bestFit="1" customWidth="1"/>
    <col min="13" max="13" width="2.85546875" style="6" customWidth="1"/>
    <col min="14" max="14" width="12.7109375" style="6" bestFit="1" customWidth="1"/>
    <col min="15" max="15" width="10.85546875" style="6" bestFit="1" customWidth="1"/>
    <col min="16" max="16" width="3.85546875" style="6" customWidth="1"/>
    <col min="17" max="17" width="2.85546875" style="211" customWidth="1"/>
    <col min="18" max="18" width="4.5703125" style="211" customWidth="1"/>
    <col min="19" max="19" width="2.85546875" style="211" customWidth="1"/>
    <col min="20" max="20" width="4.5703125" style="211" customWidth="1"/>
    <col min="21" max="21" width="2.85546875" style="211" customWidth="1"/>
    <col min="22" max="22" width="4.5703125" style="211" customWidth="1"/>
    <col min="23" max="23" width="2.85546875" style="21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64</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94</v>
      </c>
      <c r="G18" s="12" t="s">
        <v>6</v>
      </c>
    </row>
    <row r="19" spans="2:23" x14ac:dyDescent="0.2">
      <c r="B19" s="11"/>
      <c r="F19" s="160">
        <v>0.4</v>
      </c>
      <c r="G19" s="6" t="s">
        <v>58</v>
      </c>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156">
        <f>'Proposed Rates'!D13</f>
        <v>2.98</v>
      </c>
      <c r="G23" s="25">
        <v>1</v>
      </c>
      <c r="H23" s="26">
        <f>G23*F23</f>
        <v>2.98</v>
      </c>
      <c r="I23" s="27"/>
      <c r="J23" s="157">
        <f>+'Proposed Rates'!E13</f>
        <v>3.04</v>
      </c>
      <c r="K23" s="29">
        <v>1</v>
      </c>
      <c r="L23" s="26">
        <f>K23*J23</f>
        <v>3.04</v>
      </c>
      <c r="M23" s="27"/>
      <c r="N23" s="30">
        <f>L23-H23</f>
        <v>6.0000000000000053E-2</v>
      </c>
      <c r="O23" s="31">
        <f>IF((H23)=0,"",(N23/H23))</f>
        <v>2.0134228187919483E-2</v>
      </c>
      <c r="Q23" s="107"/>
      <c r="S23" s="107"/>
      <c r="U23" s="107"/>
      <c r="W23" s="107"/>
    </row>
    <row r="24" spans="2:23" x14ac:dyDescent="0.2">
      <c r="B24" s="21" t="s">
        <v>19</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
      <c r="B29" s="21" t="s">
        <v>20</v>
      </c>
      <c r="C29" s="21"/>
      <c r="D29" s="22" t="s">
        <v>59</v>
      </c>
      <c r="E29" s="23"/>
      <c r="F29" s="24">
        <f>'Proposed Rates'!D26</f>
        <v>11.399800000000001</v>
      </c>
      <c r="G29" s="51">
        <f>+$F$19</f>
        <v>0.4</v>
      </c>
      <c r="H29" s="26">
        <f t="shared" si="0"/>
        <v>4.5599200000000009</v>
      </c>
      <c r="I29" s="27"/>
      <c r="J29" s="28">
        <f>+'Proposed Rates'!E26</f>
        <v>12.279400000000001</v>
      </c>
      <c r="K29" s="51">
        <f>+$F$19</f>
        <v>0.4</v>
      </c>
      <c r="L29" s="26">
        <f t="shared" si="1"/>
        <v>4.911760000000001</v>
      </c>
      <c r="M29" s="27"/>
      <c r="N29" s="30">
        <f t="shared" si="2"/>
        <v>0.35184000000000015</v>
      </c>
      <c r="O29" s="31">
        <f t="shared" si="3"/>
        <v>7.7159248407866823E-2</v>
      </c>
      <c r="Q29" s="107"/>
      <c r="S29" s="107"/>
      <c r="U29" s="107"/>
      <c r="W29" s="107"/>
    </row>
    <row r="30" spans="2:23" x14ac:dyDescent="0.2">
      <c r="B30" s="21" t="s">
        <v>22</v>
      </c>
      <c r="C30" s="21"/>
      <c r="D30" s="22"/>
      <c r="E30" s="23"/>
      <c r="F30" s="24"/>
      <c r="G30" s="25">
        <f t="shared" ref="G30" si="4">$F$18</f>
        <v>94</v>
      </c>
      <c r="H30" s="26">
        <f t="shared" si="0"/>
        <v>0</v>
      </c>
      <c r="I30" s="27"/>
      <c r="J30" s="28"/>
      <c r="K30" s="25">
        <f t="shared" ref="K30:K38" si="5">$F$18</f>
        <v>94</v>
      </c>
      <c r="L30" s="26">
        <f t="shared" si="1"/>
        <v>0</v>
      </c>
      <c r="M30" s="27"/>
      <c r="N30" s="30">
        <f t="shared" si="2"/>
        <v>0</v>
      </c>
      <c r="O30" s="31" t="str">
        <f t="shared" si="3"/>
        <v/>
      </c>
      <c r="Q30" s="107"/>
      <c r="S30" s="107"/>
      <c r="U30" s="107"/>
      <c r="W30" s="107"/>
    </row>
    <row r="31" spans="2:23" x14ac:dyDescent="0.2">
      <c r="B31" s="21" t="s">
        <v>23</v>
      </c>
      <c r="C31" s="21"/>
      <c r="D31" s="22" t="s">
        <v>59</v>
      </c>
      <c r="E31" s="23"/>
      <c r="F31" s="24">
        <f>'Proposed Rates'!D73</f>
        <v>0</v>
      </c>
      <c r="G31" s="51">
        <f>+$F$19</f>
        <v>0.4</v>
      </c>
      <c r="H31" s="26">
        <f t="shared" si="0"/>
        <v>0</v>
      </c>
      <c r="I31" s="27"/>
      <c r="J31" s="28"/>
      <c r="K31" s="51">
        <f>+$F$19</f>
        <v>0.4</v>
      </c>
      <c r="L31" s="26">
        <f t="shared" si="1"/>
        <v>0</v>
      </c>
      <c r="M31" s="27"/>
      <c r="N31" s="30">
        <f t="shared" si="2"/>
        <v>0</v>
      </c>
      <c r="O31" s="31" t="str">
        <f t="shared" si="3"/>
        <v/>
      </c>
      <c r="Q31" s="107"/>
      <c r="S31" s="107"/>
      <c r="U31" s="107"/>
      <c r="W31" s="107"/>
    </row>
    <row r="32" spans="2:23" x14ac:dyDescent="0.2">
      <c r="B32" s="33"/>
      <c r="C32" s="21"/>
      <c r="D32" s="22"/>
      <c r="E32" s="23"/>
      <c r="F32" s="24"/>
      <c r="G32" s="25">
        <f t="shared" ref="G32:G38" si="6">$F$18</f>
        <v>94</v>
      </c>
      <c r="H32" s="26">
        <f t="shared" si="0"/>
        <v>0</v>
      </c>
      <c r="I32" s="27"/>
      <c r="J32" s="28"/>
      <c r="K32" s="25">
        <f t="shared" si="5"/>
        <v>94</v>
      </c>
      <c r="L32" s="26">
        <f t="shared" si="1"/>
        <v>0</v>
      </c>
      <c r="M32" s="27"/>
      <c r="N32" s="30">
        <f t="shared" si="2"/>
        <v>0</v>
      </c>
      <c r="O32" s="31" t="str">
        <f t="shared" si="3"/>
        <v/>
      </c>
      <c r="Q32" s="107"/>
      <c r="S32" s="107"/>
      <c r="U32" s="107"/>
      <c r="W32" s="107"/>
    </row>
    <row r="33" spans="2:23" x14ac:dyDescent="0.2">
      <c r="B33" s="33"/>
      <c r="C33" s="21"/>
      <c r="D33" s="22"/>
      <c r="E33" s="23"/>
      <c r="F33" s="24"/>
      <c r="G33" s="25">
        <f t="shared" si="6"/>
        <v>94</v>
      </c>
      <c r="H33" s="26">
        <f t="shared" si="0"/>
        <v>0</v>
      </c>
      <c r="I33" s="27"/>
      <c r="J33" s="28"/>
      <c r="K33" s="25">
        <f t="shared" si="5"/>
        <v>94</v>
      </c>
      <c r="L33" s="26">
        <f t="shared" si="1"/>
        <v>0</v>
      </c>
      <c r="M33" s="27"/>
      <c r="N33" s="30">
        <f t="shared" si="2"/>
        <v>0</v>
      </c>
      <c r="O33" s="31" t="str">
        <f t="shared" si="3"/>
        <v/>
      </c>
      <c r="Q33" s="107"/>
      <c r="S33" s="107"/>
      <c r="U33" s="107"/>
      <c r="W33" s="107"/>
    </row>
    <row r="34" spans="2:23" x14ac:dyDescent="0.2">
      <c r="B34" s="33"/>
      <c r="C34" s="21"/>
      <c r="D34" s="22"/>
      <c r="E34" s="23"/>
      <c r="F34" s="24"/>
      <c r="G34" s="25">
        <f t="shared" si="6"/>
        <v>94</v>
      </c>
      <c r="H34" s="26">
        <f t="shared" si="0"/>
        <v>0</v>
      </c>
      <c r="I34" s="27"/>
      <c r="J34" s="28"/>
      <c r="K34" s="25">
        <f t="shared" si="5"/>
        <v>94</v>
      </c>
      <c r="L34" s="26">
        <f t="shared" si="1"/>
        <v>0</v>
      </c>
      <c r="M34" s="27"/>
      <c r="N34" s="30">
        <f t="shared" si="2"/>
        <v>0</v>
      </c>
      <c r="O34" s="31" t="str">
        <f t="shared" si="3"/>
        <v/>
      </c>
      <c r="Q34" s="107"/>
      <c r="S34" s="107"/>
      <c r="U34" s="107"/>
      <c r="W34" s="107"/>
    </row>
    <row r="35" spans="2:23" x14ac:dyDescent="0.2">
      <c r="B35" s="33"/>
      <c r="C35" s="21"/>
      <c r="D35" s="22"/>
      <c r="E35" s="23"/>
      <c r="F35" s="24"/>
      <c r="G35" s="25">
        <f t="shared" si="6"/>
        <v>94</v>
      </c>
      <c r="H35" s="26">
        <f t="shared" si="0"/>
        <v>0</v>
      </c>
      <c r="I35" s="27"/>
      <c r="J35" s="28"/>
      <c r="K35" s="25">
        <f t="shared" si="5"/>
        <v>94</v>
      </c>
      <c r="L35" s="26">
        <f t="shared" si="1"/>
        <v>0</v>
      </c>
      <c r="M35" s="27"/>
      <c r="N35" s="30">
        <f t="shared" si="2"/>
        <v>0</v>
      </c>
      <c r="O35" s="31" t="str">
        <f t="shared" si="3"/>
        <v/>
      </c>
      <c r="Q35" s="107"/>
      <c r="S35" s="107"/>
      <c r="U35" s="107"/>
      <c r="W35" s="107"/>
    </row>
    <row r="36" spans="2:23" x14ac:dyDescent="0.2">
      <c r="B36" s="33"/>
      <c r="C36" s="21"/>
      <c r="D36" s="22"/>
      <c r="E36" s="23"/>
      <c r="F36" s="24"/>
      <c r="G36" s="25">
        <f t="shared" si="6"/>
        <v>94</v>
      </c>
      <c r="H36" s="26">
        <f t="shared" si="0"/>
        <v>0</v>
      </c>
      <c r="I36" s="27"/>
      <c r="J36" s="28"/>
      <c r="K36" s="25">
        <f t="shared" si="5"/>
        <v>94</v>
      </c>
      <c r="L36" s="26">
        <f t="shared" si="1"/>
        <v>0</v>
      </c>
      <c r="M36" s="27"/>
      <c r="N36" s="30">
        <f t="shared" si="2"/>
        <v>0</v>
      </c>
      <c r="O36" s="31" t="str">
        <f t="shared" si="3"/>
        <v/>
      </c>
      <c r="Q36" s="107"/>
      <c r="S36" s="107"/>
      <c r="U36" s="107"/>
      <c r="W36" s="107"/>
    </row>
    <row r="37" spans="2:23" x14ac:dyDescent="0.2">
      <c r="B37" s="33"/>
      <c r="C37" s="21"/>
      <c r="D37" s="22"/>
      <c r="E37" s="23"/>
      <c r="F37" s="24"/>
      <c r="G37" s="25">
        <f t="shared" si="6"/>
        <v>94</v>
      </c>
      <c r="H37" s="26">
        <f t="shared" si="0"/>
        <v>0</v>
      </c>
      <c r="I37" s="27"/>
      <c r="J37" s="28"/>
      <c r="K37" s="25">
        <f t="shared" si="5"/>
        <v>94</v>
      </c>
      <c r="L37" s="26">
        <f t="shared" si="1"/>
        <v>0</v>
      </c>
      <c r="M37" s="27"/>
      <c r="N37" s="30">
        <f t="shared" si="2"/>
        <v>0</v>
      </c>
      <c r="O37" s="31" t="str">
        <f t="shared" si="3"/>
        <v/>
      </c>
      <c r="Q37" s="107"/>
      <c r="S37" s="107"/>
      <c r="U37" s="107"/>
      <c r="W37" s="107"/>
    </row>
    <row r="38" spans="2:23" x14ac:dyDescent="0.2">
      <c r="B38" s="33"/>
      <c r="C38" s="21"/>
      <c r="D38" s="22"/>
      <c r="E38" s="23"/>
      <c r="F38" s="24"/>
      <c r="G38" s="25">
        <f t="shared" si="6"/>
        <v>94</v>
      </c>
      <c r="H38" s="26">
        <f t="shared" si="0"/>
        <v>0</v>
      </c>
      <c r="I38" s="27"/>
      <c r="J38" s="28"/>
      <c r="K38" s="25">
        <f t="shared" si="5"/>
        <v>94</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7.5399200000000004</v>
      </c>
      <c r="I39" s="40"/>
      <c r="J39" s="41"/>
      <c r="K39" s="42"/>
      <c r="L39" s="39">
        <f>SUM(L23:L38)</f>
        <v>7.951760000000001</v>
      </c>
      <c r="M39" s="40"/>
      <c r="N39" s="43">
        <f t="shared" si="2"/>
        <v>0.41184000000000065</v>
      </c>
      <c r="O39" s="44">
        <f t="shared" si="3"/>
        <v>5.4621269191185137E-2</v>
      </c>
      <c r="Q39" s="107"/>
      <c r="R39" s="211"/>
      <c r="S39" s="107"/>
      <c r="T39" s="211"/>
      <c r="U39" s="107"/>
      <c r="V39" s="211"/>
      <c r="W39" s="107"/>
    </row>
    <row r="40" spans="2:23" ht="38.25" x14ac:dyDescent="0.2">
      <c r="B40" s="46" t="str">
        <f>+'USL (470)'!B40</f>
        <v>Deferral/Variance Account Disposition Rate Rider Class 1</v>
      </c>
      <c r="C40" s="21"/>
      <c r="D40" s="22" t="s">
        <v>59</v>
      </c>
      <c r="E40" s="23"/>
      <c r="F40" s="24">
        <f>'Proposed Rates'!D44</f>
        <v>-0.18787899999999999</v>
      </c>
      <c r="G40" s="189">
        <f>+$F$19</f>
        <v>0.4</v>
      </c>
      <c r="H40" s="26">
        <f>G40*F40</f>
        <v>-7.5151599999999999E-2</v>
      </c>
      <c r="I40" s="27"/>
      <c r="J40" s="28">
        <f>+'Proposed Rates'!E44</f>
        <v>6.1999999999999998E-3</v>
      </c>
      <c r="K40" s="189">
        <f>+$F$19</f>
        <v>0.4</v>
      </c>
      <c r="L40" s="26">
        <f>K40*J40</f>
        <v>2.48E-3</v>
      </c>
      <c r="M40" s="27"/>
      <c r="N40" s="30">
        <f>L40-H40</f>
        <v>7.7631599999999995E-2</v>
      </c>
      <c r="O40" s="31">
        <f>IF((H40)=0,"",(N40/H40))</f>
        <v>-1.0329999627419775</v>
      </c>
      <c r="Q40" s="107"/>
      <c r="S40" s="107"/>
      <c r="U40" s="107"/>
      <c r="W40" s="107"/>
    </row>
    <row r="41" spans="2:23" ht="38.25" x14ac:dyDescent="0.2">
      <c r="B41" s="46" t="str">
        <f>+'USL (470)'!B41</f>
        <v>Deferral/Variance Account Disposition Rate Rider Class 2</v>
      </c>
      <c r="C41" s="21"/>
      <c r="D41" s="22" t="s">
        <v>59</v>
      </c>
      <c r="E41" s="23"/>
      <c r="F41" s="24">
        <f>'Proposed Rates'!D58</f>
        <v>3.9300000000000003E-3</v>
      </c>
      <c r="G41" s="189">
        <f>$F$19</f>
        <v>0.4</v>
      </c>
      <c r="H41" s="26">
        <f t="shared" ref="H41:H46" si="7">G41*F41</f>
        <v>1.5720000000000003E-3</v>
      </c>
      <c r="I41" s="47"/>
      <c r="J41" s="28">
        <f>+'Proposed Rates'!E58</f>
        <v>6.7999999999999996E-3</v>
      </c>
      <c r="K41" s="189">
        <f>$F$19</f>
        <v>0.4</v>
      </c>
      <c r="L41" s="26">
        <f t="shared" ref="L41:L46" si="8">K41*J41</f>
        <v>2.7200000000000002E-3</v>
      </c>
      <c r="M41" s="48"/>
      <c r="N41" s="30">
        <f t="shared" ref="N41:N46" si="9">L41-H41</f>
        <v>1.1479999999999999E-3</v>
      </c>
      <c r="O41" s="31">
        <f t="shared" ref="O41:O65" si="10">IF((H41)=0,"",(N41/H41))</f>
        <v>0.73027989821882933</v>
      </c>
      <c r="Q41" s="107"/>
      <c r="S41" s="107"/>
      <c r="U41" s="107"/>
      <c r="W41" s="107"/>
    </row>
    <row r="42" spans="2:23" ht="38.25" x14ac:dyDescent="0.2">
      <c r="B42" s="46" t="str">
        <f>+'USL (470)'!B42</f>
        <v xml:space="preserve">Deferral/Variance Account Disposition Rate Rider -  Global Adjustment </v>
      </c>
      <c r="C42" s="21"/>
      <c r="D42" s="22" t="s">
        <v>21</v>
      </c>
      <c r="E42" s="23"/>
      <c r="F42" s="24">
        <f>'Proposed Rates'!D87</f>
        <v>0</v>
      </c>
      <c r="G42" s="25">
        <f t="shared" ref="G42:G44" si="11">$F$18</f>
        <v>94</v>
      </c>
      <c r="H42" s="26">
        <f t="shared" si="7"/>
        <v>0</v>
      </c>
      <c r="I42" s="47"/>
      <c r="J42" s="28"/>
      <c r="K42" s="25">
        <f t="shared" ref="K42" si="12">$F$18</f>
        <v>94</v>
      </c>
      <c r="L42" s="26">
        <f t="shared" si="8"/>
        <v>0</v>
      </c>
      <c r="M42" s="48"/>
      <c r="N42" s="30">
        <f t="shared" si="9"/>
        <v>0</v>
      </c>
      <c r="O42" s="31" t="str">
        <f t="shared" si="10"/>
        <v/>
      </c>
      <c r="Q42" s="107"/>
      <c r="S42" s="107"/>
      <c r="U42" s="107"/>
      <c r="W42" s="107"/>
    </row>
    <row r="43" spans="2:23" ht="38.25" x14ac:dyDescent="0.2">
      <c r="B43" s="46" t="str">
        <f>+'USL (470)'!B43</f>
        <v>Deferral / Variance Accounts Balances (excluding Global Adj.) - NON-WMP</v>
      </c>
      <c r="C43" s="21"/>
      <c r="D43" s="22" t="s">
        <v>59</v>
      </c>
      <c r="E43" s="23"/>
      <c r="F43" s="24">
        <f>'Proposed Rates'!D103</f>
        <v>-0.335428</v>
      </c>
      <c r="G43" s="189">
        <f>$F$19</f>
        <v>0.4</v>
      </c>
      <c r="H43" s="26">
        <f t="shared" si="7"/>
        <v>-0.13417120000000002</v>
      </c>
      <c r="I43" s="47"/>
      <c r="J43" s="28">
        <f>+'Proposed Rates'!E103</f>
        <v>-0.52110000000000001</v>
      </c>
      <c r="K43" s="189">
        <f>$F$19</f>
        <v>0.4</v>
      </c>
      <c r="L43" s="26">
        <f t="shared" si="8"/>
        <v>-0.20844000000000001</v>
      </c>
      <c r="M43" s="48"/>
      <c r="N43" s="30">
        <f t="shared" si="9"/>
        <v>-7.4268799999999996E-2</v>
      </c>
      <c r="O43" s="31">
        <f t="shared" si="10"/>
        <v>0.55353756991068115</v>
      </c>
      <c r="Q43" s="107"/>
      <c r="S43" s="107"/>
      <c r="U43" s="107"/>
      <c r="W43" s="107"/>
    </row>
    <row r="44" spans="2:23" ht="38.25" x14ac:dyDescent="0.2">
      <c r="B44" s="46" t="s">
        <v>128</v>
      </c>
      <c r="C44" s="21"/>
      <c r="D44" s="22" t="s">
        <v>21</v>
      </c>
      <c r="E44" s="23"/>
      <c r="F44" s="24">
        <f>+'Proposed Rates'!D117</f>
        <v>0</v>
      </c>
      <c r="G44" s="25">
        <f t="shared" si="11"/>
        <v>94</v>
      </c>
      <c r="H44" s="26">
        <f t="shared" si="7"/>
        <v>0</v>
      </c>
      <c r="I44" s="236"/>
      <c r="J44" s="233">
        <f>+'Proposed Rates'!E117</f>
        <v>2.7E-4</v>
      </c>
      <c r="K44" s="25">
        <f t="shared" ref="K44" si="13">$F$18</f>
        <v>94</v>
      </c>
      <c r="L44" s="26">
        <f t="shared" si="8"/>
        <v>2.538E-2</v>
      </c>
      <c r="M44" s="236"/>
      <c r="N44" s="30">
        <f t="shared" si="9"/>
        <v>2.538E-2</v>
      </c>
      <c r="O44" s="31" t="str">
        <f t="shared" si="10"/>
        <v/>
      </c>
      <c r="Q44" s="107"/>
      <c r="S44" s="107"/>
      <c r="U44" s="107"/>
      <c r="W44" s="107"/>
    </row>
    <row r="45" spans="2:23" x14ac:dyDescent="0.2">
      <c r="B45" s="49" t="s">
        <v>26</v>
      </c>
      <c r="C45" s="21"/>
      <c r="D45" s="22" t="s">
        <v>59</v>
      </c>
      <c r="E45" s="23"/>
      <c r="F45" s="50">
        <f>'Proposed Rates'!D132</f>
        <v>1.8769999999999998E-2</v>
      </c>
      <c r="G45" s="51">
        <f>+$F$19</f>
        <v>0.4</v>
      </c>
      <c r="H45" s="26">
        <f>G45*F45</f>
        <v>7.5079999999999999E-3</v>
      </c>
      <c r="I45" s="27"/>
      <c r="J45" s="52">
        <f>'Proposed Rates'!E132</f>
        <v>1.9550000000000001E-2</v>
      </c>
      <c r="K45" s="51">
        <f>+$F$19</f>
        <v>0.4</v>
      </c>
      <c r="L45" s="26">
        <f>K45*J45</f>
        <v>7.8200000000000006E-3</v>
      </c>
      <c r="M45" s="27"/>
      <c r="N45" s="30">
        <f>L45-H45</f>
        <v>3.1200000000000064E-4</v>
      </c>
      <c r="O45" s="31">
        <f>IF((H45)=0,"",(N45/H45))</f>
        <v>4.1555673947789112E-2</v>
      </c>
      <c r="Q45" s="107"/>
      <c r="S45" s="107"/>
      <c r="U45" s="107"/>
      <c r="W45" s="107"/>
    </row>
    <row r="46" spans="2:23" x14ac:dyDescent="0.2">
      <c r="B46" s="49" t="s">
        <v>27</v>
      </c>
      <c r="C46" s="21"/>
      <c r="D46" s="22"/>
      <c r="E46" s="23"/>
      <c r="F46" s="53">
        <f>IF(ISBLANK(D16)=TRUE, 0, IF(D16="TOU", 0.65*$F$57+0.17*$F$58+0.18*$F$59, IF(AND(D16="non-TOU", G61&gt;0), F61,F60)))</f>
        <v>0.11139</v>
      </c>
      <c r="G46" s="54">
        <f>$F$18*(1+$F$72)-$F$18</f>
        <v>3.1490000000000009</v>
      </c>
      <c r="H46" s="26">
        <f t="shared" si="7"/>
        <v>0.3507671100000001</v>
      </c>
      <c r="I46" s="27"/>
      <c r="J46" s="55">
        <f>0.65*$J$57+0.17*$J$58+0.18*$J$59</f>
        <v>0.11139</v>
      </c>
      <c r="K46" s="54">
        <f>$F$18*(1+$J$72)-$F$18</f>
        <v>3.1490000000000009</v>
      </c>
      <c r="L46" s="26">
        <f t="shared" si="8"/>
        <v>0.3507671100000001</v>
      </c>
      <c r="M46" s="27"/>
      <c r="N46" s="30">
        <f t="shared" si="9"/>
        <v>0</v>
      </c>
      <c r="O46" s="31">
        <f t="shared" si="10"/>
        <v>0</v>
      </c>
      <c r="Q46" s="107"/>
      <c r="S46" s="107"/>
      <c r="U46" s="107"/>
      <c r="W46" s="107"/>
    </row>
    <row r="47" spans="2:23" x14ac:dyDescent="0.2">
      <c r="B47" s="49" t="s">
        <v>28</v>
      </c>
      <c r="C47" s="21"/>
      <c r="D47" s="22" t="s">
        <v>18</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5.5" x14ac:dyDescent="0.2">
      <c r="B48" s="56" t="s">
        <v>29</v>
      </c>
      <c r="C48" s="57"/>
      <c r="D48" s="57"/>
      <c r="E48" s="57"/>
      <c r="F48" s="58"/>
      <c r="G48" s="59"/>
      <c r="H48" s="60">
        <f>SUM(H40:H47)+H39</f>
        <v>7.6904443100000002</v>
      </c>
      <c r="I48" s="40"/>
      <c r="J48" s="59"/>
      <c r="K48" s="61"/>
      <c r="L48" s="60">
        <f>SUM(L40:L47)+L39</f>
        <v>8.1324871100000014</v>
      </c>
      <c r="M48" s="40"/>
      <c r="N48" s="43">
        <f t="shared" ref="N48:N65" si="14">L48-H48</f>
        <v>0.44204280000000118</v>
      </c>
      <c r="O48" s="44">
        <f t="shared" si="10"/>
        <v>5.7479487813884338E-2</v>
      </c>
      <c r="Q48" s="107"/>
      <c r="S48" s="107"/>
      <c r="U48" s="107"/>
      <c r="W48" s="107"/>
    </row>
    <row r="49" spans="2:23" x14ac:dyDescent="0.2">
      <c r="B49" s="27" t="s">
        <v>30</v>
      </c>
      <c r="C49" s="27"/>
      <c r="D49" s="62" t="s">
        <v>59</v>
      </c>
      <c r="E49" s="63"/>
      <c r="F49" s="28">
        <f>'Proposed Rates'!D162</f>
        <v>2.1118000000000001</v>
      </c>
      <c r="G49" s="161">
        <f>+$F$19</f>
        <v>0.4</v>
      </c>
      <c r="H49" s="26">
        <f>G49*F49</f>
        <v>0.84472000000000014</v>
      </c>
      <c r="I49" s="27"/>
      <c r="J49" s="28">
        <f>'Proposed Rates'!E162</f>
        <v>2.0680999999999998</v>
      </c>
      <c r="K49" s="161">
        <f>+$F$19</f>
        <v>0.4</v>
      </c>
      <c r="L49" s="26">
        <f>K49*J49</f>
        <v>0.82723999999999998</v>
      </c>
      <c r="M49" s="27"/>
      <c r="N49" s="30">
        <f t="shared" si="14"/>
        <v>-1.7480000000000162E-2</v>
      </c>
      <c r="O49" s="31">
        <f t="shared" si="10"/>
        <v>-2.0693247466616344E-2</v>
      </c>
      <c r="Q49" s="107"/>
      <c r="S49" s="107"/>
      <c r="U49" s="107"/>
      <c r="W49" s="107"/>
    </row>
    <row r="50" spans="2:23" ht="25.5" x14ac:dyDescent="0.2">
      <c r="B50" s="66" t="s">
        <v>31</v>
      </c>
      <c r="C50" s="27"/>
      <c r="D50" s="62" t="s">
        <v>59</v>
      </c>
      <c r="E50" s="63"/>
      <c r="F50" s="28">
        <f>'Proposed Rates'!D177</f>
        <v>1.357</v>
      </c>
      <c r="G50" s="161">
        <f>G49</f>
        <v>0.4</v>
      </c>
      <c r="H50" s="26">
        <f>G50*F50</f>
        <v>0.54280000000000006</v>
      </c>
      <c r="I50" s="27"/>
      <c r="J50" s="28">
        <f>'Proposed Rates'!E177</f>
        <v>1.3501000000000001</v>
      </c>
      <c r="K50" s="161">
        <f>K49</f>
        <v>0.4</v>
      </c>
      <c r="L50" s="26">
        <f>K50*J50</f>
        <v>0.54004000000000008</v>
      </c>
      <c r="M50" s="27"/>
      <c r="N50" s="30">
        <f t="shared" si="14"/>
        <v>-2.7599999999999847E-3</v>
      </c>
      <c r="O50" s="31">
        <f t="shared" si="10"/>
        <v>-5.0847457627118354E-3</v>
      </c>
      <c r="Q50" s="107"/>
      <c r="S50" s="107"/>
      <c r="U50" s="107"/>
      <c r="W50" s="107"/>
    </row>
    <row r="51" spans="2:23" ht="25.5" x14ac:dyDescent="0.2">
      <c r="B51" s="56" t="s">
        <v>32</v>
      </c>
      <c r="C51" s="35"/>
      <c r="D51" s="35"/>
      <c r="E51" s="35"/>
      <c r="F51" s="67"/>
      <c r="G51" s="59"/>
      <c r="H51" s="60">
        <f>SUM(H48:H50)</f>
        <v>9.0779643100000005</v>
      </c>
      <c r="I51" s="68"/>
      <c r="J51" s="69"/>
      <c r="K51" s="59"/>
      <c r="L51" s="60">
        <f>SUM(L48:L50)</f>
        <v>9.4997671100000005</v>
      </c>
      <c r="M51" s="68"/>
      <c r="N51" s="43">
        <f t="shared" si="14"/>
        <v>0.42180280000000003</v>
      </c>
      <c r="O51" s="44">
        <f t="shared" si="10"/>
        <v>4.646446996220896E-2</v>
      </c>
      <c r="Q51" s="102"/>
      <c r="S51" s="102"/>
      <c r="U51" s="102"/>
      <c r="W51" s="102"/>
    </row>
    <row r="52" spans="2:23" ht="25.5" x14ac:dyDescent="0.2">
      <c r="B52" s="71" t="s">
        <v>33</v>
      </c>
      <c r="C52" s="21"/>
      <c r="D52" s="22" t="s">
        <v>21</v>
      </c>
      <c r="E52" s="23"/>
      <c r="F52" s="72">
        <f>'Proposed Rates'!D186</f>
        <v>3.5999999999999999E-3</v>
      </c>
      <c r="G52" s="64">
        <f>+$F$18+G46</f>
        <v>97.149000000000001</v>
      </c>
      <c r="H52" s="73">
        <f t="shared" ref="H52:H59" si="15">G52*F52</f>
        <v>0.3497364</v>
      </c>
      <c r="I52" s="27"/>
      <c r="J52" s="72">
        <f>F52</f>
        <v>3.5999999999999999E-3</v>
      </c>
      <c r="K52" s="64">
        <f>+$F$18+K46</f>
        <v>97.149000000000001</v>
      </c>
      <c r="L52" s="73">
        <f t="shared" ref="L52:L59" si="16">K52*J52</f>
        <v>0.3497364</v>
      </c>
      <c r="M52" s="27"/>
      <c r="N52" s="30">
        <f t="shared" si="14"/>
        <v>0</v>
      </c>
      <c r="O52" s="74">
        <f t="shared" si="10"/>
        <v>0</v>
      </c>
      <c r="Q52" s="107"/>
      <c r="S52" s="107"/>
      <c r="U52" s="107"/>
      <c r="W52" s="107"/>
    </row>
    <row r="53" spans="2:23" ht="25.5" x14ac:dyDescent="0.2">
      <c r="B53" s="71" t="s">
        <v>34</v>
      </c>
      <c r="C53" s="21"/>
      <c r="D53" s="22" t="s">
        <v>21</v>
      </c>
      <c r="E53" s="23"/>
      <c r="F53" s="72">
        <f>'Proposed Rates'!D191</f>
        <v>1.2999999999999999E-3</v>
      </c>
      <c r="G53" s="64">
        <f>+G52</f>
        <v>97.149000000000001</v>
      </c>
      <c r="H53" s="73">
        <f t="shared" si="15"/>
        <v>0.12629370000000001</v>
      </c>
      <c r="I53" s="27"/>
      <c r="J53" s="72">
        <f>F53</f>
        <v>1.2999999999999999E-3</v>
      </c>
      <c r="K53" s="64">
        <f>+K52</f>
        <v>97.149000000000001</v>
      </c>
      <c r="L53" s="73">
        <f t="shared" si="16"/>
        <v>0.12629370000000001</v>
      </c>
      <c r="M53" s="27"/>
      <c r="N53" s="30">
        <f t="shared" si="14"/>
        <v>0</v>
      </c>
      <c r="O53" s="74">
        <f t="shared" si="10"/>
        <v>0</v>
      </c>
      <c r="Q53" s="107"/>
      <c r="S53" s="107"/>
      <c r="U53" s="107"/>
      <c r="W53" s="107"/>
    </row>
    <row r="54" spans="2:23" x14ac:dyDescent="0.2">
      <c r="B54" s="21" t="s">
        <v>35</v>
      </c>
      <c r="C54" s="21"/>
      <c r="D54" s="22" t="s">
        <v>18</v>
      </c>
      <c r="E54" s="23"/>
      <c r="F54" s="72">
        <f>'Proposed Rates'!D196</f>
        <v>0.25</v>
      </c>
      <c r="G54" s="25">
        <v>1</v>
      </c>
      <c r="H54" s="73">
        <f t="shared" si="15"/>
        <v>0.25</v>
      </c>
      <c r="I54" s="27"/>
      <c r="J54" s="72">
        <f>'Proposed Rates'!E196</f>
        <v>0.25</v>
      </c>
      <c r="K54" s="29">
        <v>1</v>
      </c>
      <c r="L54" s="73">
        <f t="shared" si="16"/>
        <v>0.25</v>
      </c>
      <c r="M54" s="27"/>
      <c r="N54" s="30">
        <f t="shared" si="14"/>
        <v>0</v>
      </c>
      <c r="O54" s="74">
        <f t="shared" si="10"/>
        <v>0</v>
      </c>
      <c r="Q54" s="107"/>
      <c r="S54" s="107"/>
      <c r="U54" s="107"/>
      <c r="W54" s="107"/>
    </row>
    <row r="55" spans="2:23" x14ac:dyDescent="0.2">
      <c r="B55" s="21" t="s">
        <v>122</v>
      </c>
      <c r="C55" s="21"/>
      <c r="D55" s="22"/>
      <c r="E55" s="23"/>
      <c r="F55" s="72">
        <f>'Proposed Rates'!D221</f>
        <v>1.1000000000000001E-3</v>
      </c>
      <c r="G55" s="64">
        <f>G53</f>
        <v>97.149000000000001</v>
      </c>
      <c r="H55" s="73">
        <f>G55*F55</f>
        <v>0.10686390000000001</v>
      </c>
      <c r="I55" s="27"/>
      <c r="J55" s="72">
        <f>F55</f>
        <v>1.1000000000000001E-3</v>
      </c>
      <c r="K55" s="64">
        <f>K53</f>
        <v>97.149000000000001</v>
      </c>
      <c r="L55" s="73">
        <f>K55*J55</f>
        <v>0.10686390000000001</v>
      </c>
      <c r="M55" s="27"/>
      <c r="N55" s="30"/>
      <c r="O55" s="74"/>
      <c r="Q55" s="107"/>
      <c r="S55" s="107"/>
      <c r="U55" s="107"/>
      <c r="W55" s="107"/>
    </row>
    <row r="56" spans="2:23" x14ac:dyDescent="0.2">
      <c r="B56" s="21" t="s">
        <v>36</v>
      </c>
      <c r="C56" s="21"/>
      <c r="D56" s="22"/>
      <c r="E56" s="23"/>
      <c r="F56" s="72">
        <f>'Proposed Rates'!D216</f>
        <v>6.94E-3</v>
      </c>
      <c r="G56" s="75">
        <f>$F$18</f>
        <v>94</v>
      </c>
      <c r="H56" s="73">
        <f t="shared" si="15"/>
        <v>0.65236000000000005</v>
      </c>
      <c r="I56" s="27"/>
      <c r="J56" s="72">
        <f>+F56</f>
        <v>6.94E-3</v>
      </c>
      <c r="K56" s="76">
        <f>$F$18</f>
        <v>94</v>
      </c>
      <c r="L56" s="73">
        <f t="shared" si="16"/>
        <v>0.65236000000000005</v>
      </c>
      <c r="M56" s="27"/>
      <c r="N56" s="30">
        <f t="shared" si="14"/>
        <v>0</v>
      </c>
      <c r="O56" s="74">
        <f t="shared" si="10"/>
        <v>0</v>
      </c>
      <c r="Q56" s="107"/>
      <c r="S56" s="107"/>
      <c r="U56" s="107"/>
      <c r="W56" s="107"/>
    </row>
    <row r="57" spans="2:23" x14ac:dyDescent="0.2">
      <c r="B57" s="49" t="s">
        <v>37</v>
      </c>
      <c r="C57" s="21"/>
      <c r="D57" s="22"/>
      <c r="E57" s="23"/>
      <c r="F57" s="72">
        <f>'Proposed Rates'!D226</f>
        <v>8.6999999999999994E-2</v>
      </c>
      <c r="G57" s="77">
        <f>0.65*$F$18</f>
        <v>61.1</v>
      </c>
      <c r="H57" s="73">
        <f t="shared" si="15"/>
        <v>5.3156999999999996</v>
      </c>
      <c r="I57" s="27"/>
      <c r="J57" s="72">
        <f>F57</f>
        <v>8.6999999999999994E-2</v>
      </c>
      <c r="K57" s="77">
        <f>$G$57</f>
        <v>61.1</v>
      </c>
      <c r="L57" s="73">
        <f t="shared" si="16"/>
        <v>5.3156999999999996</v>
      </c>
      <c r="M57" s="27"/>
      <c r="N57" s="30">
        <f t="shared" si="14"/>
        <v>0</v>
      </c>
      <c r="O57" s="74">
        <f t="shared" si="10"/>
        <v>0</v>
      </c>
      <c r="Q57" s="107"/>
      <c r="S57" s="107"/>
      <c r="U57" s="107"/>
      <c r="W57" s="107"/>
    </row>
    <row r="58" spans="2:23" x14ac:dyDescent="0.2">
      <c r="B58" s="49" t="s">
        <v>38</v>
      </c>
      <c r="C58" s="21"/>
      <c r="D58" s="22"/>
      <c r="E58" s="23"/>
      <c r="F58" s="72">
        <f>'Proposed Rates'!D227</f>
        <v>0.13200000000000001</v>
      </c>
      <c r="G58" s="77">
        <f>0.17*$F$18</f>
        <v>15.98</v>
      </c>
      <c r="H58" s="73">
        <f t="shared" si="15"/>
        <v>2.1093600000000001</v>
      </c>
      <c r="I58" s="27"/>
      <c r="J58" s="72">
        <f>F58</f>
        <v>0.13200000000000001</v>
      </c>
      <c r="K58" s="77">
        <f>$G$58</f>
        <v>15.98</v>
      </c>
      <c r="L58" s="73">
        <f t="shared" si="16"/>
        <v>2.1093600000000001</v>
      </c>
      <c r="M58" s="27"/>
      <c r="N58" s="30">
        <f t="shared" si="14"/>
        <v>0</v>
      </c>
      <c r="O58" s="74">
        <f t="shared" si="10"/>
        <v>0</v>
      </c>
      <c r="Q58" s="107"/>
      <c r="S58" s="107"/>
      <c r="U58" s="107"/>
      <c r="W58" s="107"/>
    </row>
    <row r="59" spans="2:23" x14ac:dyDescent="0.2">
      <c r="B59" s="11" t="s">
        <v>39</v>
      </c>
      <c r="C59" s="21"/>
      <c r="D59" s="22"/>
      <c r="E59" s="23"/>
      <c r="F59" s="72">
        <f>'Proposed Rates'!D228</f>
        <v>0.18</v>
      </c>
      <c r="G59" s="77">
        <f>0.18*$F$18</f>
        <v>16.919999999999998</v>
      </c>
      <c r="H59" s="73">
        <f t="shared" si="15"/>
        <v>3.0455999999999994</v>
      </c>
      <c r="I59" s="27"/>
      <c r="J59" s="72">
        <f>F59</f>
        <v>0.18</v>
      </c>
      <c r="K59" s="77">
        <f>$G$59</f>
        <v>16.919999999999998</v>
      </c>
      <c r="L59" s="73">
        <f t="shared" si="16"/>
        <v>3.0455999999999994</v>
      </c>
      <c r="M59" s="27"/>
      <c r="N59" s="30">
        <f t="shared" si="14"/>
        <v>0</v>
      </c>
      <c r="O59" s="74">
        <f t="shared" si="10"/>
        <v>0</v>
      </c>
      <c r="Q59" s="107"/>
      <c r="S59" s="107"/>
      <c r="U59" s="107"/>
      <c r="W59" s="107"/>
    </row>
    <row r="60" spans="2:23" s="85" customFormat="1" x14ac:dyDescent="0.2">
      <c r="B60" s="78" t="s">
        <v>40</v>
      </c>
      <c r="C60" s="79"/>
      <c r="D60" s="80"/>
      <c r="E60" s="81"/>
      <c r="F60" s="72">
        <f>'Proposed Rates'!D229</f>
        <v>0.10299999999999999</v>
      </c>
      <c r="G60" s="82">
        <f>IF(AND($Q$1=1, F18&gt;=600), 600, IF(AND($Q$1=1, AND(F18&lt;600, F18&gt;=0)), F18, IF(AND($Q$1=2, F18&gt;=1000), 1000, IF(AND($Q$1=2, AND(F18&lt;1000, F18&gt;=0)), F18))))</f>
        <v>94</v>
      </c>
      <c r="H60" s="73">
        <f>G60*F60</f>
        <v>9.6819999999999986</v>
      </c>
      <c r="I60" s="83"/>
      <c r="J60" s="72">
        <f>F60</f>
        <v>0.10299999999999999</v>
      </c>
      <c r="K60" s="82">
        <f>$G$60</f>
        <v>94</v>
      </c>
      <c r="L60" s="73">
        <f>K60*J60</f>
        <v>9.6819999999999986</v>
      </c>
      <c r="M60" s="83"/>
      <c r="N60" s="84">
        <f t="shared" si="14"/>
        <v>0</v>
      </c>
      <c r="O60" s="74">
        <f t="shared" si="10"/>
        <v>0</v>
      </c>
      <c r="Q60" s="143"/>
      <c r="R60" s="212"/>
      <c r="S60" s="143"/>
      <c r="T60" s="212"/>
      <c r="U60" s="143"/>
      <c r="V60" s="212"/>
      <c r="W60" s="143"/>
    </row>
    <row r="61" spans="2:23" s="85" customFormat="1" ht="13.5" thickBot="1" x14ac:dyDescent="0.25">
      <c r="B61" s="78" t="s">
        <v>41</v>
      </c>
      <c r="C61" s="79"/>
      <c r="D61" s="80"/>
      <c r="E61" s="81"/>
      <c r="F61" s="72">
        <f>'Proposed Rates'!D230</f>
        <v>0.121</v>
      </c>
      <c r="G61" s="82">
        <f>IF(AND($Q$1=1, F18&gt;=600), F18-600, IF(AND($Q$1=1, AND(F18&lt;600, F18&gt;=0)), 0, IF(AND($Q$1=2, F18&gt;=1000), F18-1000, IF(AND($Q$1=2, AND(F18&lt;1000, F18&gt;=0)), 0))))</f>
        <v>0</v>
      </c>
      <c r="H61" s="73">
        <f>G61*F61</f>
        <v>0</v>
      </c>
      <c r="I61" s="83"/>
      <c r="J61" s="72">
        <f>F61</f>
        <v>0.121</v>
      </c>
      <c r="K61" s="82">
        <f>$G$61</f>
        <v>0</v>
      </c>
      <c r="L61" s="73">
        <f>K61*J61</f>
        <v>0</v>
      </c>
      <c r="M61" s="83"/>
      <c r="N61" s="84">
        <f t="shared" si="14"/>
        <v>0</v>
      </c>
      <c r="O61" s="74" t="str">
        <f t="shared" si="10"/>
        <v/>
      </c>
      <c r="Q61" s="143"/>
      <c r="R61" s="212"/>
      <c r="S61" s="143"/>
      <c r="T61" s="212"/>
      <c r="U61" s="143"/>
      <c r="V61" s="212"/>
      <c r="W61" s="143"/>
    </row>
    <row r="62" spans="2:23" ht="8.25" customHeight="1" thickBot="1" x14ac:dyDescent="0.25">
      <c r="B62" s="86"/>
      <c r="C62" s="87"/>
      <c r="D62" s="88"/>
      <c r="E62" s="87"/>
      <c r="F62" s="89"/>
      <c r="G62" s="90"/>
      <c r="H62" s="91"/>
      <c r="I62" s="92"/>
      <c r="J62" s="89"/>
      <c r="K62" s="93"/>
      <c r="L62" s="91"/>
      <c r="M62" s="92"/>
      <c r="N62" s="94"/>
      <c r="O62" s="95"/>
      <c r="Q62" s="107"/>
      <c r="S62" s="107"/>
      <c r="U62" s="107"/>
      <c r="W62" s="107"/>
    </row>
    <row r="63" spans="2:23" x14ac:dyDescent="0.2">
      <c r="B63" s="96" t="s">
        <v>42</v>
      </c>
      <c r="C63" s="21"/>
      <c r="D63" s="21"/>
      <c r="E63" s="21"/>
      <c r="F63" s="97"/>
      <c r="G63" s="98"/>
      <c r="H63" s="99">
        <f>SUM(H52:H59,H51)</f>
        <v>21.033878309999999</v>
      </c>
      <c r="I63" s="100"/>
      <c r="J63" s="101"/>
      <c r="K63" s="101"/>
      <c r="L63" s="99">
        <f>SUM(L52:L59,L51)</f>
        <v>21.45568111</v>
      </c>
      <c r="M63" s="102"/>
      <c r="N63" s="103">
        <f t="shared" ref="N63" si="17">L63-H63</f>
        <v>0.42180280000000181</v>
      </c>
      <c r="O63" s="104">
        <f t="shared" ref="O63" si="18">IF((H63)=0,"",(N63/H63))</f>
        <v>2.0053496258912312E-2</v>
      </c>
      <c r="Q63" s="102"/>
      <c r="S63" s="102"/>
      <c r="U63" s="102"/>
      <c r="W63" s="102"/>
    </row>
    <row r="64" spans="2:23" x14ac:dyDescent="0.2">
      <c r="B64" s="105" t="s">
        <v>43</v>
      </c>
      <c r="C64" s="21"/>
      <c r="D64" s="21"/>
      <c r="E64" s="21"/>
      <c r="F64" s="106">
        <v>0.13</v>
      </c>
      <c r="G64" s="107"/>
      <c r="H64" s="108">
        <f>H63*F64</f>
        <v>2.7344041802999999</v>
      </c>
      <c r="I64" s="109"/>
      <c r="J64" s="110">
        <v>0.13</v>
      </c>
      <c r="K64" s="109"/>
      <c r="L64" s="111">
        <f>L63*J64</f>
        <v>2.7892385443000003</v>
      </c>
      <c r="M64" s="112"/>
      <c r="N64" s="113">
        <f t="shared" si="14"/>
        <v>5.4834364000000413E-2</v>
      </c>
      <c r="O64" s="114">
        <f t="shared" si="10"/>
        <v>2.0053496258912378E-2</v>
      </c>
      <c r="Q64" s="112"/>
      <c r="S64" s="112"/>
      <c r="U64" s="112"/>
      <c r="W64" s="112"/>
    </row>
    <row r="65" spans="1:23" ht="13.5" thickBot="1" x14ac:dyDescent="0.25">
      <c r="B65" s="115" t="s">
        <v>44</v>
      </c>
      <c r="C65" s="21"/>
      <c r="D65" s="21"/>
      <c r="E65" s="21"/>
      <c r="F65" s="116"/>
      <c r="G65" s="107"/>
      <c r="H65" s="99">
        <f>H63+H64</f>
        <v>23.768282490299999</v>
      </c>
      <c r="I65" s="109"/>
      <c r="J65" s="109"/>
      <c r="K65" s="109"/>
      <c r="L65" s="220">
        <f>L63+L64</f>
        <v>24.244919654300002</v>
      </c>
      <c r="M65" s="112"/>
      <c r="N65" s="103">
        <f t="shared" si="14"/>
        <v>0.47663716400000311</v>
      </c>
      <c r="O65" s="104">
        <f t="shared" si="10"/>
        <v>2.0053496258912357E-2</v>
      </c>
      <c r="Q65" s="112"/>
      <c r="S65" s="112"/>
      <c r="U65" s="112"/>
      <c r="W65" s="112"/>
    </row>
    <row r="66" spans="1:23" s="85" customFormat="1" ht="8.25" customHeight="1" thickBot="1" x14ac:dyDescent="0.25">
      <c r="B66" s="117"/>
      <c r="C66" s="118"/>
      <c r="D66" s="119"/>
      <c r="E66" s="118"/>
      <c r="F66" s="89"/>
      <c r="G66" s="120"/>
      <c r="H66" s="91"/>
      <c r="I66" s="121"/>
      <c r="J66" s="89"/>
      <c r="K66" s="122"/>
      <c r="L66" s="91"/>
      <c r="M66" s="121"/>
      <c r="N66" s="123"/>
      <c r="O66" s="95"/>
      <c r="Q66" s="143"/>
      <c r="R66" s="212"/>
      <c r="S66" s="143"/>
      <c r="T66" s="212"/>
      <c r="U66" s="143"/>
      <c r="V66" s="212"/>
      <c r="W66" s="143"/>
    </row>
    <row r="67" spans="1:23" s="85" customFormat="1" x14ac:dyDescent="0.2">
      <c r="B67" s="124" t="s">
        <v>45</v>
      </c>
      <c r="C67" s="79"/>
      <c r="D67" s="79"/>
      <c r="E67" s="79"/>
      <c r="F67" s="125"/>
      <c r="G67" s="126"/>
      <c r="H67" s="127">
        <f>SUM(H60:H61,H51,H52:H56)</f>
        <v>20.245218310000006</v>
      </c>
      <c r="I67" s="128"/>
      <c r="J67" s="129"/>
      <c r="K67" s="129"/>
      <c r="L67" s="127">
        <f>SUM(L60:L61,L51,L52:L56)</f>
        <v>20.667021110000004</v>
      </c>
      <c r="M67" s="130"/>
      <c r="N67" s="131">
        <f t="shared" ref="N67:N69" si="19">L67-H67</f>
        <v>0.42180279999999826</v>
      </c>
      <c r="O67" s="104">
        <f t="shared" ref="O67:O69" si="20">IF((H67)=0,"",(N67/H67))</f>
        <v>2.0834687655190722E-2</v>
      </c>
      <c r="Q67" s="130"/>
      <c r="R67" s="212"/>
      <c r="S67" s="130"/>
      <c r="T67" s="212"/>
      <c r="U67" s="130"/>
      <c r="V67" s="212"/>
      <c r="W67" s="130"/>
    </row>
    <row r="68" spans="1:23" s="85" customFormat="1" x14ac:dyDescent="0.2">
      <c r="B68" s="132" t="s">
        <v>43</v>
      </c>
      <c r="C68" s="79"/>
      <c r="D68" s="79"/>
      <c r="E68" s="79"/>
      <c r="F68" s="133">
        <v>0.13</v>
      </c>
      <c r="G68" s="126"/>
      <c r="H68" s="134">
        <f>H67*F68</f>
        <v>2.6318783803000008</v>
      </c>
      <c r="I68" s="135"/>
      <c r="J68" s="136">
        <v>0.13</v>
      </c>
      <c r="K68" s="137"/>
      <c r="L68" s="138">
        <f>L67*J68</f>
        <v>2.6867127443000007</v>
      </c>
      <c r="M68" s="139"/>
      <c r="N68" s="140">
        <f t="shared" si="19"/>
        <v>5.4834363999999969E-2</v>
      </c>
      <c r="O68" s="114">
        <f t="shared" si="20"/>
        <v>2.0834687655190795E-2</v>
      </c>
      <c r="Q68" s="139"/>
      <c r="R68" s="212"/>
      <c r="S68" s="139"/>
      <c r="T68" s="212"/>
      <c r="U68" s="139"/>
      <c r="V68" s="212"/>
      <c r="W68" s="139"/>
    </row>
    <row r="69" spans="1:23" s="85" customFormat="1" ht="13.5" thickBot="1" x14ac:dyDescent="0.25">
      <c r="B69" s="141" t="s">
        <v>44</v>
      </c>
      <c r="C69" s="79"/>
      <c r="D69" s="79"/>
      <c r="E69" s="79"/>
      <c r="F69" s="142"/>
      <c r="G69" s="143"/>
      <c r="H69" s="127">
        <f>H67+H68</f>
        <v>22.877096690300007</v>
      </c>
      <c r="I69" s="135"/>
      <c r="J69" s="135"/>
      <c r="K69" s="135"/>
      <c r="L69" s="219">
        <f>L67+L68</f>
        <v>23.353733854300003</v>
      </c>
      <c r="M69" s="139"/>
      <c r="N69" s="131">
        <f t="shared" si="19"/>
        <v>0.47663716399999601</v>
      </c>
      <c r="O69" s="104">
        <f t="shared" si="20"/>
        <v>2.0834687655190632E-2</v>
      </c>
      <c r="Q69" s="139"/>
      <c r="R69" s="212"/>
      <c r="S69" s="139"/>
      <c r="T69" s="212"/>
      <c r="U69" s="139"/>
      <c r="V69" s="212"/>
      <c r="W69" s="139"/>
    </row>
    <row r="70" spans="1:23" s="85" customFormat="1" ht="8.25" customHeight="1" thickBot="1" x14ac:dyDescent="0.25">
      <c r="B70" s="117"/>
      <c r="C70" s="118"/>
      <c r="D70" s="119"/>
      <c r="E70" s="118"/>
      <c r="F70" s="144"/>
      <c r="G70" s="145"/>
      <c r="H70" s="146"/>
      <c r="I70" s="147"/>
      <c r="J70" s="144"/>
      <c r="K70" s="120"/>
      <c r="L70" s="148"/>
      <c r="M70" s="121"/>
      <c r="N70" s="149"/>
      <c r="O70" s="95"/>
      <c r="Q70" s="143"/>
      <c r="R70" s="212"/>
      <c r="S70" s="143"/>
      <c r="T70" s="212"/>
      <c r="U70" s="143"/>
      <c r="V70" s="212"/>
      <c r="W70" s="143"/>
    </row>
    <row r="71" spans="1:23" x14ac:dyDescent="0.2">
      <c r="L71" s="150"/>
    </row>
    <row r="72" spans="1:23" x14ac:dyDescent="0.2">
      <c r="B72" s="12" t="s">
        <v>46</v>
      </c>
      <c r="F72" s="151">
        <f>'Proposed Rates'!D207</f>
        <v>3.3500000000000002E-2</v>
      </c>
      <c r="J72" s="151">
        <f>+'Res (100)'!J70</f>
        <v>3.3500000000000002E-2</v>
      </c>
    </row>
    <row r="73" spans="1:23" ht="13.5" thickBot="1" x14ac:dyDescent="0.25"/>
    <row r="74" spans="1:23" ht="8.25" customHeight="1" thickBot="1" x14ac:dyDescent="0.25">
      <c r="B74" s="86"/>
      <c r="C74" s="87"/>
      <c r="D74" s="88"/>
      <c r="E74" s="87"/>
      <c r="F74" s="89"/>
      <c r="G74" s="90"/>
      <c r="H74" s="91"/>
      <c r="I74" s="92"/>
      <c r="J74" s="89"/>
      <c r="K74" s="93"/>
      <c r="L74" s="91"/>
      <c r="M74" s="92"/>
      <c r="N74" s="94"/>
      <c r="O74" s="95"/>
      <c r="Q74" s="107"/>
      <c r="S74" s="107"/>
      <c r="U74" s="107"/>
      <c r="W74" s="107"/>
    </row>
    <row r="75" spans="1:23" x14ac:dyDescent="0.2">
      <c r="B75" s="96" t="s">
        <v>42</v>
      </c>
      <c r="C75" s="21"/>
      <c r="D75" s="21"/>
      <c r="E75" s="21"/>
      <c r="F75" s="97"/>
      <c r="G75" s="98"/>
      <c r="H75" s="99">
        <f>+H63-H31-H40-H41-H42-H43</f>
        <v>21.241629110000002</v>
      </c>
      <c r="I75" s="100"/>
      <c r="J75" s="101"/>
      <c r="K75" s="101"/>
      <c r="L75" s="99">
        <f>+L63-L31-L40-L41-L42-L43</f>
        <v>21.658921110000001</v>
      </c>
      <c r="M75" s="102"/>
      <c r="N75" s="103">
        <f t="shared" ref="N75:N77" si="21">L75-H75</f>
        <v>0.41729199999999977</v>
      </c>
      <c r="O75" s="104">
        <f t="shared" ref="O75:O77" si="22">IF((H75)=0,"",(N75/H75))</f>
        <v>1.9645009233474925E-2</v>
      </c>
      <c r="Q75" s="102"/>
      <c r="S75" s="102"/>
      <c r="U75" s="102"/>
      <c r="W75" s="102"/>
    </row>
    <row r="76" spans="1:23" x14ac:dyDescent="0.2">
      <c r="B76" s="105" t="s">
        <v>43</v>
      </c>
      <c r="C76" s="21"/>
      <c r="D76" s="21"/>
      <c r="E76" s="21"/>
      <c r="F76" s="106">
        <v>0.13</v>
      </c>
      <c r="G76" s="107"/>
      <c r="H76" s="108">
        <f>H75*F76</f>
        <v>2.7614117843000003</v>
      </c>
      <c r="I76" s="109"/>
      <c r="J76" s="110">
        <v>0.13</v>
      </c>
      <c r="K76" s="109"/>
      <c r="L76" s="111">
        <f>L75*J76</f>
        <v>2.8156597443000004</v>
      </c>
      <c r="M76" s="112"/>
      <c r="N76" s="113">
        <f t="shared" si="21"/>
        <v>5.4247960000000095E-2</v>
      </c>
      <c r="O76" s="114">
        <f t="shared" si="22"/>
        <v>1.964500923347497E-2</v>
      </c>
      <c r="Q76" s="112"/>
      <c r="S76" s="112"/>
      <c r="U76" s="112"/>
      <c r="W76" s="112"/>
    </row>
    <row r="77" spans="1:23" x14ac:dyDescent="0.2">
      <c r="B77" s="115" t="s">
        <v>44</v>
      </c>
      <c r="C77" s="21"/>
      <c r="D77" s="21"/>
      <c r="E77" s="21"/>
      <c r="F77" s="213"/>
      <c r="G77" s="214"/>
      <c r="H77" s="225">
        <f>H75+H76</f>
        <v>24.003040894300003</v>
      </c>
      <c r="I77" s="215"/>
      <c r="J77" s="215"/>
      <c r="K77" s="215"/>
      <c r="L77" s="224">
        <f>L75+L76</f>
        <v>24.474580854300001</v>
      </c>
      <c r="M77" s="216"/>
      <c r="N77" s="223">
        <f t="shared" si="21"/>
        <v>0.47153995999999765</v>
      </c>
      <c r="O77" s="222">
        <f t="shared" si="22"/>
        <v>1.9645009233474835E-2</v>
      </c>
      <c r="Q77" s="112"/>
      <c r="S77" s="112"/>
      <c r="U77" s="112"/>
      <c r="W77" s="112"/>
    </row>
    <row r="78" spans="1:23" ht="13.5" customHeight="1" x14ac:dyDescent="0.2">
      <c r="Q78" s="210"/>
      <c r="R78" s="210"/>
      <c r="S78" s="6"/>
      <c r="T78" s="6"/>
      <c r="U78" s="6"/>
      <c r="V78" s="6"/>
      <c r="W78" s="6"/>
    </row>
    <row r="79" spans="1:23" ht="12" customHeight="1" x14ac:dyDescent="0.2">
      <c r="A79" s="6" t="s">
        <v>47</v>
      </c>
      <c r="Q79" s="210"/>
      <c r="R79" s="210"/>
      <c r="S79" s="6"/>
      <c r="T79" s="6"/>
      <c r="U79" s="6"/>
      <c r="V79" s="6"/>
      <c r="W79" s="6"/>
    </row>
    <row r="80" spans="1:23" x14ac:dyDescent="0.2">
      <c r="A80" s="6" t="s">
        <v>48</v>
      </c>
      <c r="Q80" s="210"/>
      <c r="R80" s="210"/>
      <c r="S80" s="6"/>
      <c r="T80" s="6"/>
      <c r="U80" s="6"/>
      <c r="V80" s="6"/>
      <c r="W80" s="6"/>
    </row>
    <row r="81" spans="1:23" x14ac:dyDescent="0.2">
      <c r="Q81" s="210"/>
      <c r="R81" s="210"/>
      <c r="S81" s="6"/>
      <c r="T81" s="6"/>
      <c r="U81" s="6"/>
      <c r="V81" s="6"/>
      <c r="W81" s="6"/>
    </row>
    <row r="82" spans="1:23" x14ac:dyDescent="0.2">
      <c r="A82" s="153" t="s">
        <v>136</v>
      </c>
      <c r="Q82" s="210"/>
      <c r="R82" s="210"/>
      <c r="S82" s="6"/>
      <c r="T82" s="6"/>
      <c r="U82" s="6"/>
      <c r="V82" s="6"/>
      <c r="W82" s="6"/>
    </row>
    <row r="83" spans="1:23" x14ac:dyDescent="0.2">
      <c r="A83" s="11" t="s">
        <v>49</v>
      </c>
      <c r="Q83" s="210"/>
      <c r="R83" s="210"/>
      <c r="S83" s="6"/>
      <c r="T83" s="6"/>
      <c r="U83" s="6"/>
      <c r="V83" s="6"/>
      <c r="W83" s="6"/>
    </row>
    <row r="84" spans="1:23" x14ac:dyDescent="0.2">
      <c r="Q84" s="210"/>
      <c r="R84" s="210"/>
      <c r="S84" s="6"/>
      <c r="T84" s="6"/>
      <c r="U84" s="6"/>
      <c r="V84" s="6"/>
      <c r="W84" s="6"/>
    </row>
    <row r="85" spans="1:23" x14ac:dyDescent="0.2">
      <c r="A85" s="6" t="s">
        <v>135</v>
      </c>
      <c r="Q85" s="210"/>
      <c r="R85" s="210"/>
      <c r="S85" s="6"/>
      <c r="T85" s="6"/>
      <c r="U85" s="6"/>
      <c r="V85" s="6"/>
      <c r="W85" s="6"/>
    </row>
    <row r="86" spans="1:23" x14ac:dyDescent="0.2">
      <c r="A86" s="6" t="s">
        <v>50</v>
      </c>
      <c r="Q86" s="210"/>
      <c r="R86" s="210"/>
      <c r="S86" s="6"/>
      <c r="T86" s="6"/>
      <c r="U86" s="6"/>
      <c r="V86" s="6"/>
      <c r="W86" s="6"/>
    </row>
    <row r="87" spans="1:23" x14ac:dyDescent="0.2">
      <c r="A87" s="6" t="s">
        <v>51</v>
      </c>
      <c r="Q87" s="210"/>
      <c r="R87" s="210"/>
      <c r="S87" s="6"/>
      <c r="T87" s="6"/>
      <c r="U87" s="6"/>
      <c r="V87" s="6"/>
      <c r="W87" s="6"/>
    </row>
    <row r="88" spans="1:23" x14ac:dyDescent="0.2">
      <c r="A88" s="6" t="s">
        <v>52</v>
      </c>
      <c r="Q88" s="210"/>
      <c r="R88" s="210"/>
      <c r="S88" s="6"/>
      <c r="T88" s="6"/>
      <c r="U88" s="6"/>
      <c r="V88" s="6"/>
      <c r="W88" s="6"/>
    </row>
    <row r="89" spans="1:23" x14ac:dyDescent="0.2">
      <c r="A89" s="6" t="s">
        <v>53</v>
      </c>
      <c r="Q89" s="210"/>
      <c r="R89" s="210"/>
      <c r="S89" s="6"/>
      <c r="T89" s="6"/>
      <c r="U89" s="6"/>
      <c r="V89" s="6"/>
      <c r="W89" s="6"/>
    </row>
    <row r="90" spans="1:23" x14ac:dyDescent="0.2">
      <c r="Q90" s="210"/>
      <c r="R90" s="210"/>
      <c r="S90" s="6"/>
      <c r="T90" s="6"/>
      <c r="U90" s="6"/>
      <c r="V90" s="6"/>
      <c r="W90" s="6"/>
    </row>
    <row r="91" spans="1:23" x14ac:dyDescent="0.2">
      <c r="A91" s="152"/>
      <c r="B91" s="6" t="s">
        <v>54</v>
      </c>
      <c r="Q91" s="210"/>
      <c r="R91" s="210"/>
      <c r="S91" s="6"/>
      <c r="T91" s="6"/>
      <c r="U91" s="6"/>
      <c r="V91" s="6"/>
      <c r="W91" s="6"/>
    </row>
    <row r="92" spans="1:23" x14ac:dyDescent="0.2">
      <c r="Q92" s="210"/>
      <c r="R92" s="210"/>
      <c r="S92" s="6"/>
      <c r="T92" s="6"/>
      <c r="U92" s="6"/>
      <c r="V92" s="6"/>
      <c r="W92" s="6"/>
    </row>
    <row r="93" spans="1:23" x14ac:dyDescent="0.2">
      <c r="B93" s="153" t="s">
        <v>55</v>
      </c>
      <c r="Q93" s="210"/>
      <c r="R93" s="210"/>
      <c r="S93" s="6"/>
      <c r="T93" s="6"/>
      <c r="U93" s="6"/>
      <c r="V93" s="6"/>
      <c r="W93"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0 D66 D23:D38 D52:D62 D40:D47 D49:D50 D74">
      <formula1>"Monthly, per kWh, per kW"</formula1>
    </dataValidation>
    <dataValidation type="list" allowBlank="1" showInputMessage="1" showErrorMessage="1" sqref="E49:E50 E70 E66 E52:E62 E23:E38 E40:E47 E74">
      <formula1>#REF!</formula1>
    </dataValidation>
  </dataValidations>
  <pageMargins left="0.74803149606299213" right="0.74803149606299213" top="0.98425196850393704" bottom="0.98425196850393704" header="0.51181102362204722" footer="0.51181102362204722"/>
  <pageSetup scale="55" fitToWidth="2" orientation="portrait" r:id="rId1"/>
  <headerFooter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6</xdr:col>
                    <xdr:colOff>476250</xdr:colOff>
                    <xdr:row>16</xdr:row>
                    <xdr:rowOff>171450</xdr:rowOff>
                  </from>
                  <to>
                    <xdr:col>9</xdr:col>
                    <xdr:colOff>552450</xdr:colOff>
                    <xdr:row>18</xdr:row>
                    <xdr:rowOff>28575</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9</xdr:col>
                    <xdr:colOff>361950</xdr:colOff>
                    <xdr:row>16</xdr:row>
                    <xdr:rowOff>114300</xdr:rowOff>
                  </from>
                  <to>
                    <xdr:col>15</xdr:col>
                    <xdr:colOff>190500</xdr:colOff>
                    <xdr:row>18</xdr:row>
                    <xdr:rowOff>133350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93"/>
  <sheetViews>
    <sheetView showGridLines="0" view="pageBreakPreview" zoomScale="70" zoomScaleNormal="85" zoomScaleSheetLayoutView="70" workbookViewId="0">
      <selection activeCell="A3" sqref="A3:K3"/>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8.5703125" style="6" customWidth="1"/>
    <col min="8" max="8" width="12.5703125" style="6" bestFit="1" customWidth="1"/>
    <col min="9" max="9" width="2.85546875" style="6" customWidth="1"/>
    <col min="10" max="10" width="12.140625" style="6" customWidth="1"/>
    <col min="11" max="11" width="10.42578125" style="6" customWidth="1"/>
    <col min="12" max="12" width="16.28515625" style="6" bestFit="1" customWidth="1"/>
    <col min="13" max="13" width="2.85546875" style="6" customWidth="1"/>
    <col min="14" max="14" width="16.85546875" style="6" bestFit="1" customWidth="1"/>
    <col min="15" max="15" width="14.140625" style="6" bestFit="1" customWidth="1"/>
    <col min="16" max="16" width="3.85546875" style="6" customWidth="1"/>
    <col min="17" max="17" width="2.85546875" style="211" customWidth="1"/>
    <col min="18" max="18" width="4.5703125" style="211" customWidth="1"/>
    <col min="19" max="19" width="2.85546875" style="211" customWidth="1"/>
    <col min="20" max="20" width="4.5703125" style="211" customWidth="1"/>
    <col min="21" max="21" width="2.85546875" style="211" customWidth="1"/>
    <col min="22" max="22" width="4.5703125" style="211" customWidth="1"/>
    <col min="23" max="23" width="2.85546875" style="21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65</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150</v>
      </c>
      <c r="G18" s="12" t="s">
        <v>6</v>
      </c>
    </row>
    <row r="19" spans="2:23" x14ac:dyDescent="0.2">
      <c r="B19" s="11"/>
      <c r="F19" s="162">
        <v>1</v>
      </c>
      <c r="G19" s="6" t="s">
        <v>58</v>
      </c>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156">
        <f>'Proposed Rates'!D12</f>
        <v>0.75</v>
      </c>
      <c r="G23" s="25">
        <v>1</v>
      </c>
      <c r="H23" s="26">
        <f>G23*F23</f>
        <v>0.75</v>
      </c>
      <c r="I23" s="27"/>
      <c r="J23" s="157">
        <f>+'Proposed Rates'!E12</f>
        <v>0.8</v>
      </c>
      <c r="K23" s="29">
        <v>1</v>
      </c>
      <c r="L23" s="26">
        <f>K23*J23</f>
        <v>0.8</v>
      </c>
      <c r="M23" s="27"/>
      <c r="N23" s="30">
        <f>L23-H23</f>
        <v>5.0000000000000044E-2</v>
      </c>
      <c r="O23" s="31">
        <f>IF((H23)=0,"",(N23/H23))</f>
        <v>6.6666666666666721E-2</v>
      </c>
      <c r="Q23" s="107"/>
      <c r="S23" s="107"/>
      <c r="U23" s="107"/>
      <c r="W23" s="107"/>
    </row>
    <row r="24" spans="2:23" x14ac:dyDescent="0.2">
      <c r="B24" s="21" t="s">
        <v>19</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
      <c r="B29" s="21" t="s">
        <v>20</v>
      </c>
      <c r="C29" s="21"/>
      <c r="D29" s="22" t="s">
        <v>59</v>
      </c>
      <c r="E29" s="23"/>
      <c r="F29" s="24">
        <f>'Proposed Rates'!D25</f>
        <v>5.3170999999999999</v>
      </c>
      <c r="G29" s="51">
        <f>+$F$19</f>
        <v>1</v>
      </c>
      <c r="H29" s="26">
        <f t="shared" si="0"/>
        <v>5.3170999999999999</v>
      </c>
      <c r="I29" s="27"/>
      <c r="J29" s="28">
        <f>+'Proposed Rates'!E25</f>
        <v>5.6501000000000001</v>
      </c>
      <c r="K29" s="51">
        <f>+$F$19</f>
        <v>1</v>
      </c>
      <c r="L29" s="26">
        <f t="shared" si="1"/>
        <v>5.6501000000000001</v>
      </c>
      <c r="M29" s="27"/>
      <c r="N29" s="30">
        <f t="shared" si="2"/>
        <v>0.33300000000000018</v>
      </c>
      <c r="O29" s="31">
        <f t="shared" si="3"/>
        <v>6.2628124353501E-2</v>
      </c>
      <c r="Q29" s="107"/>
      <c r="S29" s="107"/>
      <c r="U29" s="107"/>
      <c r="W29" s="107"/>
    </row>
    <row r="30" spans="2:23" x14ac:dyDescent="0.2">
      <c r="B30" s="21" t="s">
        <v>22</v>
      </c>
      <c r="C30" s="21"/>
      <c r="D30" s="22"/>
      <c r="E30" s="23"/>
      <c r="F30" s="24"/>
      <c r="G30" s="25">
        <f t="shared" ref="G30" si="4">$F$18</f>
        <v>150</v>
      </c>
      <c r="H30" s="26">
        <f t="shared" si="0"/>
        <v>0</v>
      </c>
      <c r="I30" s="27"/>
      <c r="J30" s="28"/>
      <c r="K30" s="25">
        <f t="shared" ref="K30:K38" si="5">$F$18</f>
        <v>150</v>
      </c>
      <c r="L30" s="26">
        <f t="shared" si="1"/>
        <v>0</v>
      </c>
      <c r="M30" s="27"/>
      <c r="N30" s="30">
        <f t="shared" si="2"/>
        <v>0</v>
      </c>
      <c r="O30" s="31" t="str">
        <f t="shared" si="3"/>
        <v/>
      </c>
      <c r="Q30" s="107"/>
      <c r="S30" s="107"/>
      <c r="U30" s="107"/>
      <c r="W30" s="107"/>
    </row>
    <row r="31" spans="2:23" x14ac:dyDescent="0.2">
      <c r="B31" s="21" t="s">
        <v>23</v>
      </c>
      <c r="C31" s="21"/>
      <c r="D31" s="22" t="s">
        <v>59</v>
      </c>
      <c r="E31" s="23"/>
      <c r="F31" s="24">
        <f>'Proposed Rates'!D72</f>
        <v>-0.24051</v>
      </c>
      <c r="G31" s="51">
        <f>+$F$19</f>
        <v>1</v>
      </c>
      <c r="H31" s="26">
        <f t="shared" si="0"/>
        <v>-0.24051</v>
      </c>
      <c r="I31" s="27"/>
      <c r="J31" s="163">
        <f>+'Proposed Rates'!E72</f>
        <v>0</v>
      </c>
      <c r="K31" s="51">
        <f>+$F$19</f>
        <v>1</v>
      </c>
      <c r="L31" s="26">
        <f t="shared" si="1"/>
        <v>0</v>
      </c>
      <c r="M31" s="27"/>
      <c r="N31" s="30">
        <f t="shared" si="2"/>
        <v>0.24051</v>
      </c>
      <c r="O31" s="31">
        <f t="shared" si="3"/>
        <v>-1</v>
      </c>
      <c r="Q31" s="107"/>
      <c r="S31" s="107"/>
      <c r="U31" s="107"/>
      <c r="W31" s="107"/>
    </row>
    <row r="32" spans="2:23" x14ac:dyDescent="0.2">
      <c r="B32" s="33"/>
      <c r="C32" s="21"/>
      <c r="D32" s="22"/>
      <c r="E32" s="23"/>
      <c r="F32" s="24"/>
      <c r="G32" s="25">
        <f t="shared" ref="G32:G38" si="6">$F$18</f>
        <v>150</v>
      </c>
      <c r="H32" s="26">
        <f t="shared" si="0"/>
        <v>0</v>
      </c>
      <c r="I32" s="27"/>
      <c r="J32" s="28"/>
      <c r="K32" s="25">
        <f t="shared" si="5"/>
        <v>150</v>
      </c>
      <c r="L32" s="26">
        <f t="shared" si="1"/>
        <v>0</v>
      </c>
      <c r="M32" s="27"/>
      <c r="N32" s="30">
        <f t="shared" si="2"/>
        <v>0</v>
      </c>
      <c r="O32" s="31" t="str">
        <f t="shared" si="3"/>
        <v/>
      </c>
      <c r="Q32" s="107"/>
      <c r="S32" s="107"/>
      <c r="U32" s="107"/>
      <c r="W32" s="107"/>
    </row>
    <row r="33" spans="2:23" x14ac:dyDescent="0.2">
      <c r="B33" s="33"/>
      <c r="C33" s="21"/>
      <c r="D33" s="22"/>
      <c r="E33" s="23"/>
      <c r="F33" s="24"/>
      <c r="G33" s="25">
        <f t="shared" si="6"/>
        <v>150</v>
      </c>
      <c r="H33" s="26">
        <f t="shared" si="0"/>
        <v>0</v>
      </c>
      <c r="I33" s="27"/>
      <c r="J33" s="28"/>
      <c r="K33" s="25">
        <f t="shared" si="5"/>
        <v>150</v>
      </c>
      <c r="L33" s="26">
        <f t="shared" si="1"/>
        <v>0</v>
      </c>
      <c r="M33" s="27"/>
      <c r="N33" s="30">
        <f t="shared" si="2"/>
        <v>0</v>
      </c>
      <c r="O33" s="31" t="str">
        <f t="shared" si="3"/>
        <v/>
      </c>
      <c r="Q33" s="107"/>
      <c r="S33" s="107"/>
      <c r="U33" s="107"/>
      <c r="W33" s="107"/>
    </row>
    <row r="34" spans="2:23" x14ac:dyDescent="0.2">
      <c r="B34" s="33"/>
      <c r="C34" s="21"/>
      <c r="D34" s="22"/>
      <c r="E34" s="23"/>
      <c r="F34" s="24"/>
      <c r="G34" s="25">
        <f t="shared" si="6"/>
        <v>150</v>
      </c>
      <c r="H34" s="26">
        <f t="shared" si="0"/>
        <v>0</v>
      </c>
      <c r="I34" s="27"/>
      <c r="J34" s="28"/>
      <c r="K34" s="25">
        <f t="shared" si="5"/>
        <v>150</v>
      </c>
      <c r="L34" s="26">
        <f t="shared" si="1"/>
        <v>0</v>
      </c>
      <c r="M34" s="27"/>
      <c r="N34" s="30">
        <f t="shared" si="2"/>
        <v>0</v>
      </c>
      <c r="O34" s="31" t="str">
        <f t="shared" si="3"/>
        <v/>
      </c>
      <c r="Q34" s="107"/>
      <c r="S34" s="107"/>
      <c r="U34" s="107"/>
      <c r="W34" s="107"/>
    </row>
    <row r="35" spans="2:23" x14ac:dyDescent="0.2">
      <c r="B35" s="33"/>
      <c r="C35" s="21"/>
      <c r="D35" s="22"/>
      <c r="E35" s="23"/>
      <c r="F35" s="24"/>
      <c r="G35" s="25">
        <f t="shared" si="6"/>
        <v>150</v>
      </c>
      <c r="H35" s="26">
        <f t="shared" si="0"/>
        <v>0</v>
      </c>
      <c r="I35" s="27"/>
      <c r="J35" s="28"/>
      <c r="K35" s="25">
        <f t="shared" si="5"/>
        <v>150</v>
      </c>
      <c r="L35" s="26">
        <f t="shared" si="1"/>
        <v>0</v>
      </c>
      <c r="M35" s="27"/>
      <c r="N35" s="30">
        <f t="shared" si="2"/>
        <v>0</v>
      </c>
      <c r="O35" s="31" t="str">
        <f t="shared" si="3"/>
        <v/>
      </c>
      <c r="Q35" s="107"/>
      <c r="S35" s="107"/>
      <c r="U35" s="107"/>
      <c r="W35" s="107"/>
    </row>
    <row r="36" spans="2:23" x14ac:dyDescent="0.2">
      <c r="B36" s="33"/>
      <c r="C36" s="21"/>
      <c r="D36" s="22"/>
      <c r="E36" s="23"/>
      <c r="F36" s="24"/>
      <c r="G36" s="25">
        <f t="shared" si="6"/>
        <v>150</v>
      </c>
      <c r="H36" s="26">
        <f t="shared" si="0"/>
        <v>0</v>
      </c>
      <c r="I36" s="27"/>
      <c r="J36" s="28"/>
      <c r="K36" s="25">
        <f t="shared" si="5"/>
        <v>150</v>
      </c>
      <c r="L36" s="26">
        <f t="shared" si="1"/>
        <v>0</v>
      </c>
      <c r="M36" s="27"/>
      <c r="N36" s="30">
        <f t="shared" si="2"/>
        <v>0</v>
      </c>
      <c r="O36" s="31" t="str">
        <f t="shared" si="3"/>
        <v/>
      </c>
      <c r="Q36" s="107"/>
      <c r="S36" s="107"/>
      <c r="U36" s="107"/>
      <c r="W36" s="107"/>
    </row>
    <row r="37" spans="2:23" x14ac:dyDescent="0.2">
      <c r="B37" s="33"/>
      <c r="C37" s="21"/>
      <c r="D37" s="22"/>
      <c r="E37" s="23"/>
      <c r="F37" s="24"/>
      <c r="G37" s="25">
        <f t="shared" si="6"/>
        <v>150</v>
      </c>
      <c r="H37" s="26">
        <f t="shared" si="0"/>
        <v>0</v>
      </c>
      <c r="I37" s="27"/>
      <c r="J37" s="28"/>
      <c r="K37" s="25">
        <f t="shared" si="5"/>
        <v>150</v>
      </c>
      <c r="L37" s="26">
        <f t="shared" si="1"/>
        <v>0</v>
      </c>
      <c r="M37" s="27"/>
      <c r="N37" s="30">
        <f t="shared" si="2"/>
        <v>0</v>
      </c>
      <c r="O37" s="31" t="str">
        <f t="shared" si="3"/>
        <v/>
      </c>
      <c r="Q37" s="107"/>
      <c r="S37" s="107"/>
      <c r="U37" s="107"/>
      <c r="W37" s="107"/>
    </row>
    <row r="38" spans="2:23" x14ac:dyDescent="0.2">
      <c r="B38" s="33"/>
      <c r="C38" s="21"/>
      <c r="D38" s="22"/>
      <c r="E38" s="23"/>
      <c r="F38" s="24"/>
      <c r="G38" s="25">
        <f t="shared" si="6"/>
        <v>150</v>
      </c>
      <c r="H38" s="26">
        <f t="shared" si="0"/>
        <v>0</v>
      </c>
      <c r="I38" s="27"/>
      <c r="J38" s="28"/>
      <c r="K38" s="25">
        <f t="shared" si="5"/>
        <v>150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5.8265899999999995</v>
      </c>
      <c r="I39" s="40"/>
      <c r="J39" s="41"/>
      <c r="K39" s="42"/>
      <c r="L39" s="39">
        <f>SUM(L23:L38)</f>
        <v>6.4500999999999999</v>
      </c>
      <c r="M39" s="40"/>
      <c r="N39" s="43">
        <f t="shared" si="2"/>
        <v>0.62351000000000045</v>
      </c>
      <c r="O39" s="44">
        <f t="shared" si="3"/>
        <v>0.10701113344168725</v>
      </c>
      <c r="Q39" s="107"/>
      <c r="R39" s="211"/>
      <c r="S39" s="107"/>
      <c r="T39" s="211"/>
      <c r="U39" s="107"/>
      <c r="V39" s="211"/>
      <c r="W39" s="107"/>
    </row>
    <row r="40" spans="2:23" ht="38.25" x14ac:dyDescent="0.2">
      <c r="B40" s="46" t="str">
        <f>+'SN (.4)'!B40</f>
        <v>Deferral/Variance Account Disposition Rate Rider Class 1</v>
      </c>
      <c r="C40" s="21"/>
      <c r="D40" s="22" t="s">
        <v>59</v>
      </c>
      <c r="E40" s="23"/>
      <c r="F40" s="24">
        <f>'Proposed Rates'!D43</f>
        <v>-0.29901</v>
      </c>
      <c r="G40" s="51">
        <f>+$F$19</f>
        <v>1</v>
      </c>
      <c r="H40" s="26">
        <f>G40*F40</f>
        <v>-0.29901</v>
      </c>
      <c r="I40" s="27"/>
      <c r="J40" s="163">
        <f>+'Proposed Rates'!E43</f>
        <v>9.9000000000000008E-3</v>
      </c>
      <c r="K40" s="51">
        <f>+$F$19</f>
        <v>1</v>
      </c>
      <c r="L40" s="26">
        <f>K40*J40</f>
        <v>9.9000000000000008E-3</v>
      </c>
      <c r="M40" s="27"/>
      <c r="N40" s="30">
        <f>L40-H40</f>
        <v>0.30891000000000002</v>
      </c>
      <c r="O40" s="31">
        <f>IF((H40)=0,"",(N40/H40))</f>
        <v>-1.0331092605598475</v>
      </c>
      <c r="Q40" s="107"/>
      <c r="S40" s="107"/>
      <c r="U40" s="107"/>
      <c r="W40" s="107"/>
    </row>
    <row r="41" spans="2:23" ht="38.25" x14ac:dyDescent="0.2">
      <c r="B41" s="46" t="str">
        <f>+'SN (.4)'!B41</f>
        <v>Deferral/Variance Account Disposition Rate Rider Class 2</v>
      </c>
      <c r="C41" s="21"/>
      <c r="D41" s="22" t="s">
        <v>59</v>
      </c>
      <c r="E41" s="23"/>
      <c r="F41" s="24">
        <f>'Proposed Rates'!D57</f>
        <v>-2.5850000000000001E-2</v>
      </c>
      <c r="G41" s="189">
        <f>$F$19</f>
        <v>1</v>
      </c>
      <c r="H41" s="26">
        <f t="shared" ref="H41:H46" si="7">G41*F41</f>
        <v>-2.5850000000000001E-2</v>
      </c>
      <c r="I41" s="47"/>
      <c r="J41" s="28">
        <f>+'Proposed Rates'!E57</f>
        <v>1.09E-2</v>
      </c>
      <c r="K41" s="234">
        <f>$F$19</f>
        <v>1</v>
      </c>
      <c r="L41" s="26">
        <f t="shared" ref="L41:L46" si="8">K41*J41</f>
        <v>1.09E-2</v>
      </c>
      <c r="M41" s="48"/>
      <c r="N41" s="30">
        <f t="shared" ref="N41:N46" si="9">L41-H41</f>
        <v>3.6750000000000005E-2</v>
      </c>
      <c r="O41" s="31">
        <f t="shared" ref="O41:O65" si="10">IF((H41)=0,"",(N41/H41))</f>
        <v>-1.4216634429400388</v>
      </c>
      <c r="Q41" s="107"/>
      <c r="S41" s="107"/>
      <c r="U41" s="107"/>
      <c r="W41" s="107"/>
    </row>
    <row r="42" spans="2:23" ht="38.25" x14ac:dyDescent="0.2">
      <c r="B42" s="46" t="str">
        <f>+'SN (.4)'!B42</f>
        <v xml:space="preserve">Deferral/Variance Account Disposition Rate Rider -  Global Adjustment </v>
      </c>
      <c r="C42" s="21"/>
      <c r="D42" s="22" t="s">
        <v>21</v>
      </c>
      <c r="E42" s="23"/>
      <c r="F42" s="24">
        <f>'Proposed Rates'!D86</f>
        <v>2.81E-3</v>
      </c>
      <c r="G42" s="25">
        <f t="shared" ref="G42" si="11">$F$18</f>
        <v>150</v>
      </c>
      <c r="H42" s="26">
        <f t="shared" si="7"/>
        <v>0.42149999999999999</v>
      </c>
      <c r="I42" s="47"/>
      <c r="J42" s="28">
        <f>+'Proposed Rates'!E86</f>
        <v>-2.0999999999999999E-3</v>
      </c>
      <c r="K42" s="25">
        <f t="shared" ref="K42" si="12">$F$18</f>
        <v>150</v>
      </c>
      <c r="L42" s="26">
        <f t="shared" si="8"/>
        <v>-0.315</v>
      </c>
      <c r="M42" s="48"/>
      <c r="N42" s="30">
        <f t="shared" si="9"/>
        <v>-0.73649999999999993</v>
      </c>
      <c r="O42" s="31">
        <f t="shared" si="10"/>
        <v>-1.7473309608540923</v>
      </c>
      <c r="Q42" s="107"/>
      <c r="S42" s="107"/>
      <c r="U42" s="107"/>
      <c r="W42" s="107"/>
    </row>
    <row r="43" spans="2:23" ht="38.25" x14ac:dyDescent="0.2">
      <c r="B43" s="46" t="str">
        <f>+'SN (.4)'!B43</f>
        <v>Deferral / Variance Accounts Balances (excluding Global Adj.) - NON-WMP</v>
      </c>
      <c r="C43" s="21"/>
      <c r="D43" s="22" t="s">
        <v>59</v>
      </c>
      <c r="E43" s="23"/>
      <c r="F43" s="24">
        <f>'Proposed Rates'!D102</f>
        <v>-0.53383400000000003</v>
      </c>
      <c r="G43" s="189">
        <f>$F$19</f>
        <v>1</v>
      </c>
      <c r="H43" s="26">
        <f t="shared" si="7"/>
        <v>-0.53383400000000003</v>
      </c>
      <c r="I43" s="47"/>
      <c r="J43" s="28">
        <f>+'Proposed Rates'!E102</f>
        <v>-0.83130000000000004</v>
      </c>
      <c r="K43" s="234">
        <f>$F$19</f>
        <v>1</v>
      </c>
      <c r="L43" s="26">
        <f t="shared" si="8"/>
        <v>-0.83130000000000004</v>
      </c>
      <c r="M43" s="48"/>
      <c r="N43" s="30">
        <f t="shared" si="9"/>
        <v>-0.29746600000000001</v>
      </c>
      <c r="O43" s="31">
        <f t="shared" si="10"/>
        <v>0.55722565441691607</v>
      </c>
      <c r="Q43" s="107"/>
      <c r="S43" s="107"/>
      <c r="U43" s="107"/>
      <c r="W43" s="107"/>
    </row>
    <row r="44" spans="2:23" ht="38.25" x14ac:dyDescent="0.2">
      <c r="B44" s="46" t="s">
        <v>128</v>
      </c>
      <c r="C44" s="21"/>
      <c r="D44" s="22" t="s">
        <v>21</v>
      </c>
      <c r="E44" s="23"/>
      <c r="F44" s="24">
        <f>+'Proposed Rates'!D116</f>
        <v>0</v>
      </c>
      <c r="G44" s="25">
        <f t="shared" ref="G44" si="13">$F$18</f>
        <v>150</v>
      </c>
      <c r="H44" s="26">
        <f t="shared" si="7"/>
        <v>0</v>
      </c>
      <c r="I44" s="236"/>
      <c r="J44" s="233">
        <f>+'Proposed Rates'!E116</f>
        <v>2.7E-4</v>
      </c>
      <c r="K44" s="25">
        <f t="shared" ref="K44" si="14">$F$18</f>
        <v>150</v>
      </c>
      <c r="L44" s="26">
        <f t="shared" si="8"/>
        <v>4.0500000000000001E-2</v>
      </c>
      <c r="M44" s="236"/>
      <c r="N44" s="30">
        <f t="shared" si="9"/>
        <v>4.0500000000000001E-2</v>
      </c>
      <c r="O44" s="31"/>
      <c r="Q44" s="107"/>
      <c r="S44" s="107"/>
      <c r="U44" s="107"/>
      <c r="W44" s="107"/>
    </row>
    <row r="45" spans="2:23" x14ac:dyDescent="0.2">
      <c r="B45" s="49" t="s">
        <v>26</v>
      </c>
      <c r="C45" s="21"/>
      <c r="D45" s="22" t="s">
        <v>59</v>
      </c>
      <c r="E45" s="23"/>
      <c r="F45" s="50">
        <f>'Proposed Rates'!D131</f>
        <v>1.916E-2</v>
      </c>
      <c r="G45" s="51">
        <f>+$F$19</f>
        <v>1</v>
      </c>
      <c r="H45" s="26">
        <f>G45*F45</f>
        <v>1.916E-2</v>
      </c>
      <c r="I45" s="27"/>
      <c r="J45" s="52">
        <f>'Proposed Rates'!E131</f>
        <v>1.9959999999999999E-2</v>
      </c>
      <c r="K45" s="51">
        <f>+$F$19</f>
        <v>1</v>
      </c>
      <c r="L45" s="26">
        <f>K45*J45</f>
        <v>1.9959999999999999E-2</v>
      </c>
      <c r="M45" s="27"/>
      <c r="N45" s="30">
        <f>L45-H45</f>
        <v>7.9999999999999863E-4</v>
      </c>
      <c r="O45" s="31">
        <f>IF((H45)=0,"",(N45/H45))</f>
        <v>4.1753653444676339E-2</v>
      </c>
      <c r="Q45" s="107"/>
      <c r="S45" s="107"/>
      <c r="U45" s="107"/>
      <c r="W45" s="107"/>
    </row>
    <row r="46" spans="2:23" x14ac:dyDescent="0.2">
      <c r="B46" s="49" t="s">
        <v>27</v>
      </c>
      <c r="C46" s="21"/>
      <c r="D46" s="22"/>
      <c r="E46" s="23"/>
      <c r="F46" s="53">
        <f>IF(ISBLANK(D16)=TRUE, 0, IF(D16="TOU", 0.65*$F$57+0.17*$F$58+0.18*$F$59, IF(AND(D16="non-TOU", G61&gt;0), F61,F60)))</f>
        <v>0.11139</v>
      </c>
      <c r="G46" s="54">
        <f>$F$18*(1+$F$72)-$F$18</f>
        <v>5.0250000000000057</v>
      </c>
      <c r="H46" s="26">
        <f t="shared" si="7"/>
        <v>0.55973475000000061</v>
      </c>
      <c r="I46" s="27"/>
      <c r="J46" s="55">
        <f>0.65*$J$57+0.17*$J$58+0.18*$J$59</f>
        <v>0.11139</v>
      </c>
      <c r="K46" s="54">
        <f>$F$18*(1+$J$72)-$F$18</f>
        <v>5.0250000000000057</v>
      </c>
      <c r="L46" s="26">
        <f t="shared" si="8"/>
        <v>0.55973475000000061</v>
      </c>
      <c r="M46" s="27"/>
      <c r="N46" s="30">
        <f t="shared" si="9"/>
        <v>0</v>
      </c>
      <c r="O46" s="31">
        <f t="shared" si="10"/>
        <v>0</v>
      </c>
      <c r="Q46" s="107"/>
      <c r="S46" s="107"/>
      <c r="U46" s="107"/>
      <c r="W46" s="107"/>
    </row>
    <row r="47" spans="2:23" x14ac:dyDescent="0.2">
      <c r="B47" s="49" t="s">
        <v>28</v>
      </c>
      <c r="C47" s="21"/>
      <c r="D47" s="22" t="s">
        <v>18</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5.5" x14ac:dyDescent="0.2">
      <c r="B48" s="56" t="s">
        <v>29</v>
      </c>
      <c r="C48" s="57"/>
      <c r="D48" s="57"/>
      <c r="E48" s="57"/>
      <c r="F48" s="58"/>
      <c r="G48" s="59"/>
      <c r="H48" s="60">
        <f>SUM(H40:H47)+H39</f>
        <v>5.9682907500000004</v>
      </c>
      <c r="I48" s="40"/>
      <c r="J48" s="59"/>
      <c r="K48" s="61"/>
      <c r="L48" s="60">
        <f>SUM(L40:L47)+L39</f>
        <v>5.9447947500000007</v>
      </c>
      <c r="M48" s="40"/>
      <c r="N48" s="43">
        <f t="shared" ref="N48:N65" si="15">L48-H48</f>
        <v>-2.3495999999999739E-2</v>
      </c>
      <c r="O48" s="44">
        <f t="shared" si="10"/>
        <v>-3.936805525099416E-3</v>
      </c>
      <c r="Q48" s="107"/>
      <c r="S48" s="107"/>
      <c r="U48" s="107"/>
      <c r="W48" s="107"/>
    </row>
    <row r="49" spans="2:23" x14ac:dyDescent="0.2">
      <c r="B49" s="27" t="s">
        <v>30</v>
      </c>
      <c r="C49" s="27"/>
      <c r="D49" s="62" t="s">
        <v>59</v>
      </c>
      <c r="E49" s="63"/>
      <c r="F49" s="28">
        <f>'Proposed Rates'!D161</f>
        <v>2.1225000000000001</v>
      </c>
      <c r="G49" s="64">
        <f>+$F$19</f>
        <v>1</v>
      </c>
      <c r="H49" s="26">
        <f>G49*F49</f>
        <v>2.1225000000000001</v>
      </c>
      <c r="I49" s="27"/>
      <c r="J49" s="28">
        <f>'Proposed Rates'!E161</f>
        <v>2.0785999999999998</v>
      </c>
      <c r="K49" s="64">
        <f>+$F$19</f>
        <v>1</v>
      </c>
      <c r="L49" s="26">
        <f>K49*J49</f>
        <v>2.0785999999999998</v>
      </c>
      <c r="M49" s="27"/>
      <c r="N49" s="30">
        <f t="shared" si="15"/>
        <v>-4.3900000000000272E-2</v>
      </c>
      <c r="O49" s="31">
        <f t="shared" si="10"/>
        <v>-2.0683156654888232E-2</v>
      </c>
      <c r="Q49" s="107"/>
      <c r="S49" s="107"/>
      <c r="U49" s="107"/>
      <c r="W49" s="107"/>
    </row>
    <row r="50" spans="2:23" ht="25.5" x14ac:dyDescent="0.2">
      <c r="B50" s="66" t="s">
        <v>31</v>
      </c>
      <c r="C50" s="27"/>
      <c r="D50" s="62" t="s">
        <v>59</v>
      </c>
      <c r="E50" s="63"/>
      <c r="F50" s="28">
        <f>'Proposed Rates'!D176</f>
        <v>1.3853</v>
      </c>
      <c r="G50" s="64">
        <f>G49</f>
        <v>1</v>
      </c>
      <c r="H50" s="26">
        <f>G50*F50</f>
        <v>1.3853</v>
      </c>
      <c r="I50" s="27"/>
      <c r="J50" s="28">
        <f>'Proposed Rates'!E176</f>
        <v>1.3783000000000001</v>
      </c>
      <c r="K50" s="64">
        <f>K49</f>
        <v>1</v>
      </c>
      <c r="L50" s="26">
        <f>K50*J50</f>
        <v>1.3783000000000001</v>
      </c>
      <c r="M50" s="27"/>
      <c r="N50" s="30">
        <f t="shared" si="15"/>
        <v>-6.9999999999998952E-3</v>
      </c>
      <c r="O50" s="31">
        <f t="shared" si="10"/>
        <v>-5.0530570995451496E-3</v>
      </c>
      <c r="Q50" s="107"/>
      <c r="S50" s="107"/>
      <c r="U50" s="107"/>
      <c r="W50" s="107"/>
    </row>
    <row r="51" spans="2:23" ht="25.5" x14ac:dyDescent="0.2">
      <c r="B51" s="56" t="s">
        <v>32</v>
      </c>
      <c r="C51" s="35"/>
      <c r="D51" s="35"/>
      <c r="E51" s="35"/>
      <c r="F51" s="67"/>
      <c r="G51" s="59"/>
      <c r="H51" s="60">
        <f>SUM(H48:H50)</f>
        <v>9.4760907500000009</v>
      </c>
      <c r="I51" s="68"/>
      <c r="J51" s="69"/>
      <c r="K51" s="59"/>
      <c r="L51" s="60">
        <f>SUM(L48:L50)</f>
        <v>9.4016947500000008</v>
      </c>
      <c r="M51" s="68"/>
      <c r="N51" s="43">
        <f t="shared" si="15"/>
        <v>-7.4396000000000129E-2</v>
      </c>
      <c r="O51" s="44">
        <f t="shared" si="10"/>
        <v>-7.8509167928768643E-3</v>
      </c>
      <c r="Q51" s="102"/>
      <c r="S51" s="102"/>
      <c r="U51" s="102"/>
      <c r="W51" s="102"/>
    </row>
    <row r="52" spans="2:23" ht="25.5" x14ac:dyDescent="0.2">
      <c r="B52" s="71" t="s">
        <v>33</v>
      </c>
      <c r="C52" s="21"/>
      <c r="D52" s="22" t="s">
        <v>21</v>
      </c>
      <c r="E52" s="23"/>
      <c r="F52" s="72">
        <f>'Proposed Rates'!D186</f>
        <v>3.5999999999999999E-3</v>
      </c>
      <c r="G52" s="64">
        <f>+$F$18+G46</f>
        <v>155.02500000000001</v>
      </c>
      <c r="H52" s="73">
        <f t="shared" ref="H52:H59" si="16">G52*F52</f>
        <v>0.55808999999999997</v>
      </c>
      <c r="I52" s="27"/>
      <c r="J52" s="72">
        <f>F52</f>
        <v>3.5999999999999999E-3</v>
      </c>
      <c r="K52" s="64">
        <f>+$F$18+K46</f>
        <v>155.02500000000001</v>
      </c>
      <c r="L52" s="73">
        <f t="shared" ref="L52:L59" si="17">K52*J52</f>
        <v>0.55808999999999997</v>
      </c>
      <c r="M52" s="27"/>
      <c r="N52" s="30">
        <f t="shared" si="15"/>
        <v>0</v>
      </c>
      <c r="O52" s="74">
        <f t="shared" si="10"/>
        <v>0</v>
      </c>
      <c r="Q52" s="107"/>
      <c r="S52" s="107"/>
      <c r="U52" s="107"/>
      <c r="W52" s="107"/>
    </row>
    <row r="53" spans="2:23" ht="25.5" x14ac:dyDescent="0.2">
      <c r="B53" s="71" t="s">
        <v>34</v>
      </c>
      <c r="C53" s="21"/>
      <c r="D53" s="22" t="s">
        <v>21</v>
      </c>
      <c r="E53" s="23"/>
      <c r="F53" s="72">
        <f>'Proposed Rates'!D191</f>
        <v>1.2999999999999999E-3</v>
      </c>
      <c r="G53" s="64">
        <f>+G52</f>
        <v>155.02500000000001</v>
      </c>
      <c r="H53" s="73">
        <f t="shared" si="16"/>
        <v>0.2015325</v>
      </c>
      <c r="I53" s="27"/>
      <c r="J53" s="72">
        <f>F53</f>
        <v>1.2999999999999999E-3</v>
      </c>
      <c r="K53" s="64">
        <f>+K52</f>
        <v>155.02500000000001</v>
      </c>
      <c r="L53" s="73">
        <f t="shared" si="17"/>
        <v>0.2015325</v>
      </c>
      <c r="M53" s="27"/>
      <c r="N53" s="30">
        <f t="shared" si="15"/>
        <v>0</v>
      </c>
      <c r="O53" s="74">
        <f t="shared" si="10"/>
        <v>0</v>
      </c>
      <c r="Q53" s="107"/>
      <c r="S53" s="107"/>
      <c r="U53" s="107"/>
      <c r="W53" s="107"/>
    </row>
    <row r="54" spans="2:23" x14ac:dyDescent="0.2">
      <c r="B54" s="21" t="s">
        <v>35</v>
      </c>
      <c r="C54" s="21"/>
      <c r="D54" s="22" t="s">
        <v>18</v>
      </c>
      <c r="E54" s="23"/>
      <c r="F54" s="72">
        <f>'Proposed Rates'!D196</f>
        <v>0.25</v>
      </c>
      <c r="G54" s="25">
        <v>1</v>
      </c>
      <c r="H54" s="73">
        <f t="shared" si="16"/>
        <v>0.25</v>
      </c>
      <c r="I54" s="27"/>
      <c r="J54" s="72">
        <f>'Proposed Rates'!E196</f>
        <v>0.25</v>
      </c>
      <c r="K54" s="29">
        <v>1</v>
      </c>
      <c r="L54" s="73">
        <f t="shared" si="17"/>
        <v>0.25</v>
      </c>
      <c r="M54" s="27"/>
      <c r="N54" s="30">
        <f t="shared" si="15"/>
        <v>0</v>
      </c>
      <c r="O54" s="74">
        <f t="shared" si="10"/>
        <v>0</v>
      </c>
      <c r="Q54" s="107"/>
      <c r="S54" s="107"/>
      <c r="U54" s="107"/>
      <c r="W54" s="107"/>
    </row>
    <row r="55" spans="2:23" x14ac:dyDescent="0.2">
      <c r="B55" s="21" t="s">
        <v>122</v>
      </c>
      <c r="C55" s="21"/>
      <c r="D55" s="22"/>
      <c r="E55" s="23"/>
      <c r="F55" s="72">
        <f>'Proposed Rates'!D221</f>
        <v>1.1000000000000001E-3</v>
      </c>
      <c r="G55" s="64">
        <f>G53</f>
        <v>155.02500000000001</v>
      </c>
      <c r="H55" s="73">
        <f>G55*F55</f>
        <v>0.17052750000000003</v>
      </c>
      <c r="I55" s="27"/>
      <c r="J55" s="72">
        <f>F55</f>
        <v>1.1000000000000001E-3</v>
      </c>
      <c r="K55" s="64">
        <f>K53</f>
        <v>155.02500000000001</v>
      </c>
      <c r="L55" s="73">
        <f>K55*J55</f>
        <v>0.17052750000000003</v>
      </c>
      <c r="M55" s="27"/>
      <c r="N55" s="30"/>
      <c r="O55" s="74"/>
      <c r="Q55" s="107"/>
      <c r="S55" s="107"/>
      <c r="U55" s="107"/>
      <c r="W55" s="107"/>
    </row>
    <row r="56" spans="2:23" x14ac:dyDescent="0.2">
      <c r="B56" s="21" t="s">
        <v>36</v>
      </c>
      <c r="C56" s="21"/>
      <c r="D56" s="22"/>
      <c r="E56" s="23"/>
      <c r="F56" s="72">
        <f>'Proposed Rates'!D216</f>
        <v>6.94E-3</v>
      </c>
      <c r="G56" s="75">
        <f>$F$18</f>
        <v>150</v>
      </c>
      <c r="H56" s="73">
        <f t="shared" si="16"/>
        <v>1.0409999999999999</v>
      </c>
      <c r="I56" s="27"/>
      <c r="J56" s="72">
        <f>+F56</f>
        <v>6.94E-3</v>
      </c>
      <c r="K56" s="76">
        <f>$F$18</f>
        <v>150</v>
      </c>
      <c r="L56" s="73">
        <f t="shared" si="17"/>
        <v>1.0409999999999999</v>
      </c>
      <c r="M56" s="27"/>
      <c r="N56" s="30">
        <f t="shared" si="15"/>
        <v>0</v>
      </c>
      <c r="O56" s="74">
        <f t="shared" si="10"/>
        <v>0</v>
      </c>
      <c r="Q56" s="107"/>
      <c r="S56" s="107"/>
      <c r="U56" s="107"/>
      <c r="W56" s="107"/>
    </row>
    <row r="57" spans="2:23" x14ac:dyDescent="0.2">
      <c r="B57" s="49" t="s">
        <v>37</v>
      </c>
      <c r="C57" s="21"/>
      <c r="D57" s="22"/>
      <c r="E57" s="23"/>
      <c r="F57" s="72">
        <f>'Proposed Rates'!D226</f>
        <v>8.6999999999999994E-2</v>
      </c>
      <c r="G57" s="77">
        <f>0.65*$F$18</f>
        <v>97.5</v>
      </c>
      <c r="H57" s="73">
        <f t="shared" si="16"/>
        <v>8.4824999999999999</v>
      </c>
      <c r="I57" s="27"/>
      <c r="J57" s="72">
        <f>F57</f>
        <v>8.6999999999999994E-2</v>
      </c>
      <c r="K57" s="77">
        <f>$G$57</f>
        <v>97.5</v>
      </c>
      <c r="L57" s="73">
        <f t="shared" si="17"/>
        <v>8.4824999999999999</v>
      </c>
      <c r="M57" s="27"/>
      <c r="N57" s="30">
        <f t="shared" si="15"/>
        <v>0</v>
      </c>
      <c r="O57" s="74">
        <f t="shared" si="10"/>
        <v>0</v>
      </c>
      <c r="Q57" s="107"/>
      <c r="S57" s="107"/>
      <c r="U57" s="107"/>
      <c r="W57" s="107"/>
    </row>
    <row r="58" spans="2:23" x14ac:dyDescent="0.2">
      <c r="B58" s="49" t="s">
        <v>38</v>
      </c>
      <c r="C58" s="21"/>
      <c r="D58" s="22"/>
      <c r="E58" s="23"/>
      <c r="F58" s="72">
        <f>'Proposed Rates'!D227</f>
        <v>0.13200000000000001</v>
      </c>
      <c r="G58" s="77">
        <f>0.17*$F$18</f>
        <v>25.500000000000004</v>
      </c>
      <c r="H58" s="73">
        <f t="shared" si="16"/>
        <v>3.3660000000000005</v>
      </c>
      <c r="I58" s="27"/>
      <c r="J58" s="72">
        <f>F58</f>
        <v>0.13200000000000001</v>
      </c>
      <c r="K58" s="77">
        <f>$G$58</f>
        <v>25.500000000000004</v>
      </c>
      <c r="L58" s="73">
        <f t="shared" si="17"/>
        <v>3.3660000000000005</v>
      </c>
      <c r="M58" s="27"/>
      <c r="N58" s="30">
        <f t="shared" si="15"/>
        <v>0</v>
      </c>
      <c r="O58" s="74">
        <f t="shared" si="10"/>
        <v>0</v>
      </c>
      <c r="Q58" s="107"/>
      <c r="S58" s="107"/>
      <c r="U58" s="107"/>
      <c r="W58" s="107"/>
    </row>
    <row r="59" spans="2:23" x14ac:dyDescent="0.2">
      <c r="B59" s="11" t="s">
        <v>39</v>
      </c>
      <c r="C59" s="21"/>
      <c r="D59" s="22"/>
      <c r="E59" s="23"/>
      <c r="F59" s="72">
        <f>'Proposed Rates'!D228</f>
        <v>0.18</v>
      </c>
      <c r="G59" s="77">
        <f>0.18*$F$18</f>
        <v>27</v>
      </c>
      <c r="H59" s="73">
        <f t="shared" si="16"/>
        <v>4.8599999999999994</v>
      </c>
      <c r="I59" s="27"/>
      <c r="J59" s="72">
        <f>F59</f>
        <v>0.18</v>
      </c>
      <c r="K59" s="77">
        <f>$G$59</f>
        <v>27</v>
      </c>
      <c r="L59" s="73">
        <f t="shared" si="17"/>
        <v>4.8599999999999994</v>
      </c>
      <c r="M59" s="27"/>
      <c r="N59" s="30">
        <f t="shared" si="15"/>
        <v>0</v>
      </c>
      <c r="O59" s="74">
        <f t="shared" si="10"/>
        <v>0</v>
      </c>
      <c r="Q59" s="107"/>
      <c r="S59" s="107"/>
      <c r="U59" s="107"/>
      <c r="W59" s="107"/>
    </row>
    <row r="60" spans="2:23" s="85" customFormat="1" x14ac:dyDescent="0.2">
      <c r="B60" s="78" t="s">
        <v>40</v>
      </c>
      <c r="C60" s="79"/>
      <c r="D60" s="80"/>
      <c r="E60" s="81"/>
      <c r="F60" s="72">
        <f>'Proposed Rates'!D229</f>
        <v>0.10299999999999999</v>
      </c>
      <c r="G60" s="82">
        <f>IF(AND($Q$1=1, F18&gt;=600), 600, IF(AND($Q$1=1, AND(F18&lt;600, F18&gt;=0)), F18, IF(AND($Q$1=2, F18&gt;=1000), 1000, IF(AND($Q$1=2, AND(F18&lt;1000, F18&gt;=0)), F18))))</f>
        <v>150</v>
      </c>
      <c r="H60" s="73">
        <f>G60*F60</f>
        <v>15.45</v>
      </c>
      <c r="I60" s="83"/>
      <c r="J60" s="72">
        <f>F60</f>
        <v>0.10299999999999999</v>
      </c>
      <c r="K60" s="82">
        <f>$G$60</f>
        <v>150</v>
      </c>
      <c r="L60" s="73">
        <f>K60*J60</f>
        <v>15.45</v>
      </c>
      <c r="M60" s="83"/>
      <c r="N60" s="84">
        <f t="shared" si="15"/>
        <v>0</v>
      </c>
      <c r="O60" s="74">
        <f t="shared" si="10"/>
        <v>0</v>
      </c>
      <c r="Q60" s="143"/>
      <c r="R60" s="212"/>
      <c r="S60" s="143"/>
      <c r="T60" s="212"/>
      <c r="U60" s="143"/>
      <c r="V60" s="212"/>
      <c r="W60" s="143"/>
    </row>
    <row r="61" spans="2:23" s="85" customFormat="1" ht="13.5" thickBot="1" x14ac:dyDescent="0.25">
      <c r="B61" s="78" t="s">
        <v>41</v>
      </c>
      <c r="C61" s="79"/>
      <c r="D61" s="80"/>
      <c r="E61" s="81"/>
      <c r="F61" s="72">
        <f>'Proposed Rates'!D230</f>
        <v>0.121</v>
      </c>
      <c r="G61" s="82">
        <f>IF(AND($Q$1=1, F18&gt;=600), F18-600, IF(AND($Q$1=1, AND(F18&lt;600, F18&gt;=0)), 0, IF(AND($Q$1=2, F18&gt;=1000), F18-1000, IF(AND($Q$1=2, AND(F18&lt;1000, F18&gt;=0)), 0))))</f>
        <v>0</v>
      </c>
      <c r="H61" s="73">
        <f>G61*F61</f>
        <v>0</v>
      </c>
      <c r="I61" s="83"/>
      <c r="J61" s="72">
        <f>F61</f>
        <v>0.121</v>
      </c>
      <c r="K61" s="82">
        <f>$G$61</f>
        <v>0</v>
      </c>
      <c r="L61" s="73">
        <f>K61*J61</f>
        <v>0</v>
      </c>
      <c r="M61" s="83"/>
      <c r="N61" s="84">
        <f t="shared" si="15"/>
        <v>0</v>
      </c>
      <c r="O61" s="74" t="str">
        <f t="shared" si="10"/>
        <v/>
      </c>
      <c r="Q61" s="143"/>
      <c r="R61" s="212"/>
      <c r="S61" s="143"/>
      <c r="T61" s="212"/>
      <c r="U61" s="143"/>
      <c r="V61" s="212"/>
      <c r="W61" s="143"/>
    </row>
    <row r="62" spans="2:23" ht="8.25" customHeight="1" thickBot="1" x14ac:dyDescent="0.25">
      <c r="B62" s="86"/>
      <c r="C62" s="87"/>
      <c r="D62" s="88"/>
      <c r="E62" s="87"/>
      <c r="F62" s="89"/>
      <c r="G62" s="90"/>
      <c r="H62" s="91"/>
      <c r="I62" s="92"/>
      <c r="J62" s="89"/>
      <c r="K62" s="93"/>
      <c r="L62" s="91"/>
      <c r="M62" s="92"/>
      <c r="N62" s="94"/>
      <c r="O62" s="95"/>
      <c r="Q62" s="107"/>
      <c r="S62" s="107"/>
      <c r="U62" s="107"/>
      <c r="W62" s="107"/>
    </row>
    <row r="63" spans="2:23" x14ac:dyDescent="0.2">
      <c r="B63" s="96" t="s">
        <v>42</v>
      </c>
      <c r="C63" s="21"/>
      <c r="D63" s="21"/>
      <c r="E63" s="21"/>
      <c r="F63" s="97"/>
      <c r="G63" s="98"/>
      <c r="H63" s="99">
        <f>SUM(H52:H59,H51)</f>
        <v>28.40574075</v>
      </c>
      <c r="I63" s="100"/>
      <c r="J63" s="101"/>
      <c r="K63" s="101"/>
      <c r="L63" s="99">
        <f>SUM(L52:L59,L51)</f>
        <v>28.33134475</v>
      </c>
      <c r="M63" s="102"/>
      <c r="N63" s="103">
        <f t="shared" ref="N63" si="18">L63-H63</f>
        <v>-7.4396000000000129E-2</v>
      </c>
      <c r="O63" s="104">
        <f t="shared" ref="O63" si="19">IF((H63)=0,"",(N63/H63))</f>
        <v>-2.6190480528130613E-3</v>
      </c>
      <c r="Q63" s="102"/>
      <c r="S63" s="102"/>
      <c r="U63" s="102"/>
      <c r="W63" s="102"/>
    </row>
    <row r="64" spans="2:23" x14ac:dyDescent="0.2">
      <c r="B64" s="105" t="s">
        <v>43</v>
      </c>
      <c r="C64" s="21"/>
      <c r="D64" s="21"/>
      <c r="E64" s="21"/>
      <c r="F64" s="106">
        <v>0.13</v>
      </c>
      <c r="G64" s="107"/>
      <c r="H64" s="108">
        <f>H63*F64</f>
        <v>3.6927462975000003</v>
      </c>
      <c r="I64" s="109"/>
      <c r="J64" s="110">
        <v>0.13</v>
      </c>
      <c r="K64" s="109"/>
      <c r="L64" s="111">
        <f>L63*J64</f>
        <v>3.6830748175000001</v>
      </c>
      <c r="M64" s="112"/>
      <c r="N64" s="113">
        <f t="shared" si="15"/>
        <v>-9.6714800000001766E-3</v>
      </c>
      <c r="O64" s="114">
        <f t="shared" si="10"/>
        <v>-2.6190480528131043E-3</v>
      </c>
      <c r="Q64" s="112"/>
      <c r="S64" s="112"/>
      <c r="U64" s="112"/>
      <c r="W64" s="112"/>
    </row>
    <row r="65" spans="1:23" ht="13.5" thickBot="1" x14ac:dyDescent="0.25">
      <c r="B65" s="115" t="s">
        <v>44</v>
      </c>
      <c r="C65" s="21"/>
      <c r="D65" s="21"/>
      <c r="E65" s="21"/>
      <c r="F65" s="116"/>
      <c r="G65" s="107"/>
      <c r="H65" s="99">
        <f>H63+H64</f>
        <v>32.098487047500001</v>
      </c>
      <c r="I65" s="109"/>
      <c r="J65" s="109"/>
      <c r="K65" s="109"/>
      <c r="L65" s="220">
        <f>L63+L64</f>
        <v>32.014419567499999</v>
      </c>
      <c r="M65" s="112"/>
      <c r="N65" s="103">
        <f t="shared" si="15"/>
        <v>-8.4067480000001638E-2</v>
      </c>
      <c r="O65" s="104">
        <f t="shared" si="10"/>
        <v>-2.6190480528131077E-3</v>
      </c>
      <c r="Q65" s="112"/>
      <c r="S65" s="112"/>
      <c r="U65" s="112"/>
      <c r="W65" s="112"/>
    </row>
    <row r="66" spans="1:23" s="85" customFormat="1" ht="8.25" customHeight="1" thickBot="1" x14ac:dyDescent="0.25">
      <c r="B66" s="117"/>
      <c r="C66" s="118"/>
      <c r="D66" s="119"/>
      <c r="E66" s="118"/>
      <c r="F66" s="89"/>
      <c r="G66" s="120"/>
      <c r="H66" s="91"/>
      <c r="I66" s="121"/>
      <c r="J66" s="89"/>
      <c r="K66" s="122"/>
      <c r="L66" s="91"/>
      <c r="M66" s="121"/>
      <c r="N66" s="123"/>
      <c r="O66" s="95"/>
      <c r="Q66" s="143"/>
      <c r="R66" s="212"/>
      <c r="S66" s="143"/>
      <c r="T66" s="212"/>
      <c r="U66" s="143"/>
      <c r="V66" s="212"/>
      <c r="W66" s="143"/>
    </row>
    <row r="67" spans="1:23" s="85" customFormat="1" x14ac:dyDescent="0.2">
      <c r="B67" s="124" t="s">
        <v>45</v>
      </c>
      <c r="C67" s="79"/>
      <c r="D67" s="79"/>
      <c r="E67" s="79"/>
      <c r="F67" s="125"/>
      <c r="G67" s="126"/>
      <c r="H67" s="127">
        <f>SUM(H60:H61,H51,H52:H56)</f>
        <v>27.147240749999998</v>
      </c>
      <c r="I67" s="128"/>
      <c r="J67" s="129"/>
      <c r="K67" s="129"/>
      <c r="L67" s="127">
        <f>SUM(L60:L61,L51,L52:L56)</f>
        <v>27.072844749999998</v>
      </c>
      <c r="M67" s="130"/>
      <c r="N67" s="131">
        <f t="shared" ref="N67:N69" si="20">L67-H67</f>
        <v>-7.4396000000000129E-2</v>
      </c>
      <c r="O67" s="104">
        <f t="shared" ref="O67:O69" si="21">IF((H67)=0,"",(N67/H67))</f>
        <v>-2.7404626748300425E-3</v>
      </c>
      <c r="Q67" s="130"/>
      <c r="R67" s="212"/>
      <c r="S67" s="130"/>
      <c r="T67" s="212"/>
      <c r="U67" s="130"/>
      <c r="V67" s="212"/>
      <c r="W67" s="130"/>
    </row>
    <row r="68" spans="1:23" s="85" customFormat="1" x14ac:dyDescent="0.2">
      <c r="B68" s="132" t="s">
        <v>43</v>
      </c>
      <c r="C68" s="79"/>
      <c r="D68" s="79"/>
      <c r="E68" s="79"/>
      <c r="F68" s="133">
        <v>0.13</v>
      </c>
      <c r="G68" s="126"/>
      <c r="H68" s="134">
        <f>H67*F68</f>
        <v>3.5291412974999998</v>
      </c>
      <c r="I68" s="135"/>
      <c r="J68" s="136">
        <v>0.13</v>
      </c>
      <c r="K68" s="137"/>
      <c r="L68" s="138">
        <f>L67*J68</f>
        <v>3.5194698174999997</v>
      </c>
      <c r="M68" s="139"/>
      <c r="N68" s="140">
        <f t="shared" si="20"/>
        <v>-9.6714800000001766E-3</v>
      </c>
      <c r="O68" s="114">
        <f t="shared" si="21"/>
        <v>-2.740462674830088E-3</v>
      </c>
      <c r="Q68" s="139"/>
      <c r="R68" s="212"/>
      <c r="S68" s="139"/>
      <c r="T68" s="212"/>
      <c r="U68" s="139"/>
      <c r="V68" s="212"/>
      <c r="W68" s="139"/>
    </row>
    <row r="69" spans="1:23" s="85" customFormat="1" ht="13.5" thickBot="1" x14ac:dyDescent="0.25">
      <c r="B69" s="141" t="s">
        <v>44</v>
      </c>
      <c r="C69" s="79"/>
      <c r="D69" s="79"/>
      <c r="E69" s="79"/>
      <c r="F69" s="142"/>
      <c r="G69" s="143"/>
      <c r="H69" s="127">
        <f>H67+H68</f>
        <v>30.676382047499999</v>
      </c>
      <c r="I69" s="135"/>
      <c r="J69" s="135"/>
      <c r="K69" s="135"/>
      <c r="L69" s="219">
        <f>L67+L68</f>
        <v>30.592314567499997</v>
      </c>
      <c r="M69" s="139"/>
      <c r="N69" s="131">
        <f t="shared" si="20"/>
        <v>-8.4067480000001638E-2</v>
      </c>
      <c r="O69" s="104">
        <f t="shared" si="21"/>
        <v>-2.740462674830091E-3</v>
      </c>
      <c r="Q69" s="139"/>
      <c r="R69" s="212"/>
      <c r="S69" s="139"/>
      <c r="T69" s="212"/>
      <c r="U69" s="139"/>
      <c r="V69" s="212"/>
      <c r="W69" s="139"/>
    </row>
    <row r="70" spans="1:23" s="85" customFormat="1" ht="8.25" customHeight="1" thickBot="1" x14ac:dyDescent="0.25">
      <c r="B70" s="117"/>
      <c r="C70" s="118"/>
      <c r="D70" s="119"/>
      <c r="E70" s="118"/>
      <c r="F70" s="144"/>
      <c r="G70" s="145"/>
      <c r="H70" s="146"/>
      <c r="I70" s="147"/>
      <c r="J70" s="144"/>
      <c r="K70" s="120"/>
      <c r="L70" s="148"/>
      <c r="M70" s="121"/>
      <c r="N70" s="149"/>
      <c r="O70" s="95"/>
      <c r="Q70" s="143"/>
      <c r="R70" s="212"/>
      <c r="S70" s="143"/>
      <c r="T70" s="212"/>
      <c r="U70" s="143"/>
      <c r="V70" s="212"/>
      <c r="W70" s="143"/>
    </row>
    <row r="71" spans="1:23" x14ac:dyDescent="0.2">
      <c r="L71" s="150"/>
    </row>
    <row r="72" spans="1:23" x14ac:dyDescent="0.2">
      <c r="B72" s="12" t="s">
        <v>46</v>
      </c>
      <c r="F72" s="151">
        <f>'Proposed Rates'!D206</f>
        <v>3.3500000000000002E-2</v>
      </c>
      <c r="J72" s="151">
        <f>+'Res (100)'!J70</f>
        <v>3.3500000000000002E-2</v>
      </c>
    </row>
    <row r="73" spans="1:23" ht="13.5" thickBot="1" x14ac:dyDescent="0.25"/>
    <row r="74" spans="1:23" ht="8.25" customHeight="1" thickBot="1" x14ac:dyDescent="0.25">
      <c r="B74" s="86"/>
      <c r="C74" s="87"/>
      <c r="D74" s="88"/>
      <c r="E74" s="87"/>
      <c r="F74" s="89"/>
      <c r="G74" s="90"/>
      <c r="H74" s="91"/>
      <c r="I74" s="92"/>
      <c r="J74" s="89"/>
      <c r="K74" s="93"/>
      <c r="L74" s="91"/>
      <c r="M74" s="92"/>
      <c r="N74" s="94"/>
      <c r="O74" s="95"/>
      <c r="Q74" s="107"/>
      <c r="S74" s="107"/>
      <c r="U74" s="107"/>
      <c r="W74" s="107"/>
    </row>
    <row r="75" spans="1:23" x14ac:dyDescent="0.2">
      <c r="B75" s="96" t="s">
        <v>42</v>
      </c>
      <c r="C75" s="21"/>
      <c r="D75" s="21"/>
      <c r="E75" s="21"/>
      <c r="F75" s="97"/>
      <c r="G75" s="98"/>
      <c r="H75" s="99">
        <f>+H63-H31-H40-H41-H42-H43</f>
        <v>29.083444749999998</v>
      </c>
      <c r="I75" s="100"/>
      <c r="J75" s="101"/>
      <c r="K75" s="101"/>
      <c r="L75" s="99">
        <f>+L63-L31-L40-L41-L42-L43</f>
        <v>29.456844750000002</v>
      </c>
      <c r="M75" s="102"/>
      <c r="N75" s="103">
        <f t="shared" ref="N75:N77" si="22">L75-H75</f>
        <v>0.37340000000000373</v>
      </c>
      <c r="O75" s="104">
        <f t="shared" ref="O75:O77" si="23">IF((H75)=0,"",(N75/H75))</f>
        <v>1.2838919296174631E-2</v>
      </c>
      <c r="Q75" s="102"/>
      <c r="S75" s="102"/>
      <c r="U75" s="102"/>
      <c r="W75" s="102"/>
    </row>
    <row r="76" spans="1:23" x14ac:dyDescent="0.2">
      <c r="B76" s="105" t="s">
        <v>43</v>
      </c>
      <c r="C76" s="21"/>
      <c r="D76" s="21"/>
      <c r="E76" s="21"/>
      <c r="F76" s="106">
        <v>0.13</v>
      </c>
      <c r="G76" s="107"/>
      <c r="H76" s="108">
        <f>H75*F76</f>
        <v>3.7808478174999998</v>
      </c>
      <c r="I76" s="109"/>
      <c r="J76" s="110">
        <v>0.13</v>
      </c>
      <c r="K76" s="109"/>
      <c r="L76" s="111">
        <f>L75*J76</f>
        <v>3.8293898175000005</v>
      </c>
      <c r="M76" s="112"/>
      <c r="N76" s="113">
        <f t="shared" si="22"/>
        <v>4.8542000000000751E-2</v>
      </c>
      <c r="O76" s="114">
        <f t="shared" si="23"/>
        <v>1.2838919296174702E-2</v>
      </c>
      <c r="Q76" s="112"/>
      <c r="S76" s="112"/>
      <c r="U76" s="112"/>
      <c r="W76" s="112"/>
    </row>
    <row r="77" spans="1:23" x14ac:dyDescent="0.2">
      <c r="B77" s="115" t="s">
        <v>44</v>
      </c>
      <c r="C77" s="21"/>
      <c r="D77" s="21"/>
      <c r="E77" s="21"/>
      <c r="F77" s="213"/>
      <c r="G77" s="214"/>
      <c r="H77" s="225">
        <f>H75+H76</f>
        <v>32.864292567500001</v>
      </c>
      <c r="I77" s="215"/>
      <c r="J77" s="215"/>
      <c r="K77" s="215"/>
      <c r="L77" s="224">
        <f>L75+L76</f>
        <v>33.286234567500003</v>
      </c>
      <c r="M77" s="216"/>
      <c r="N77" s="223">
        <f t="shared" si="22"/>
        <v>0.42194200000000137</v>
      </c>
      <c r="O77" s="222">
        <f t="shared" si="23"/>
        <v>1.2838919296174542E-2</v>
      </c>
      <c r="Q77" s="112"/>
      <c r="S77" s="112"/>
      <c r="U77" s="112"/>
      <c r="W77" s="112"/>
    </row>
    <row r="78" spans="1:23" ht="13.5" customHeight="1" x14ac:dyDescent="0.2">
      <c r="Q78" s="210"/>
      <c r="R78" s="210"/>
      <c r="S78" s="6"/>
      <c r="T78" s="6"/>
      <c r="U78" s="6"/>
      <c r="V78" s="6"/>
      <c r="W78" s="6"/>
    </row>
    <row r="79" spans="1:23" ht="12" customHeight="1" x14ac:dyDescent="0.2">
      <c r="A79" s="6" t="s">
        <v>47</v>
      </c>
      <c r="Q79" s="210"/>
      <c r="R79" s="210"/>
      <c r="S79" s="6"/>
      <c r="T79" s="6"/>
      <c r="U79" s="6"/>
      <c r="V79" s="6"/>
      <c r="W79" s="6"/>
    </row>
    <row r="80" spans="1:23" x14ac:dyDescent="0.2">
      <c r="A80" s="6" t="s">
        <v>48</v>
      </c>
      <c r="Q80" s="210"/>
      <c r="R80" s="210"/>
      <c r="S80" s="6"/>
      <c r="T80" s="6"/>
      <c r="U80" s="6"/>
      <c r="V80" s="6"/>
      <c r="W80" s="6"/>
    </row>
    <row r="81" spans="1:23" x14ac:dyDescent="0.2">
      <c r="Q81" s="210"/>
      <c r="R81" s="210"/>
      <c r="S81" s="6"/>
      <c r="T81" s="6"/>
      <c r="U81" s="6"/>
      <c r="V81" s="6"/>
      <c r="W81" s="6"/>
    </row>
    <row r="82" spans="1:23" x14ac:dyDescent="0.2">
      <c r="A82" s="153" t="s">
        <v>136</v>
      </c>
      <c r="Q82" s="210"/>
      <c r="R82" s="210"/>
      <c r="S82" s="6"/>
      <c r="T82" s="6"/>
      <c r="U82" s="6"/>
      <c r="V82" s="6"/>
      <c r="W82" s="6"/>
    </row>
    <row r="83" spans="1:23" x14ac:dyDescent="0.2">
      <c r="A83" s="11" t="s">
        <v>49</v>
      </c>
      <c r="Q83" s="210"/>
      <c r="R83" s="210"/>
      <c r="S83" s="6"/>
      <c r="T83" s="6"/>
      <c r="U83" s="6"/>
      <c r="V83" s="6"/>
      <c r="W83" s="6"/>
    </row>
    <row r="84" spans="1:23" x14ac:dyDescent="0.2">
      <c r="Q84" s="210"/>
      <c r="R84" s="210"/>
      <c r="S84" s="6"/>
      <c r="T84" s="6"/>
      <c r="U84" s="6"/>
      <c r="V84" s="6"/>
      <c r="W84" s="6"/>
    </row>
    <row r="85" spans="1:23" x14ac:dyDescent="0.2">
      <c r="A85" s="6" t="s">
        <v>135</v>
      </c>
      <c r="Q85" s="210"/>
      <c r="R85" s="210"/>
      <c r="S85" s="6"/>
      <c r="T85" s="6"/>
      <c r="U85" s="6"/>
      <c r="V85" s="6"/>
      <c r="W85" s="6"/>
    </row>
    <row r="86" spans="1:23" x14ac:dyDescent="0.2">
      <c r="A86" s="6" t="s">
        <v>50</v>
      </c>
      <c r="Q86" s="210"/>
      <c r="R86" s="210"/>
      <c r="S86" s="6"/>
      <c r="T86" s="6"/>
      <c r="U86" s="6"/>
      <c r="V86" s="6"/>
      <c r="W86" s="6"/>
    </row>
    <row r="87" spans="1:23" x14ac:dyDescent="0.2">
      <c r="A87" s="6" t="s">
        <v>51</v>
      </c>
      <c r="Q87" s="210"/>
      <c r="R87" s="210"/>
      <c r="S87" s="6"/>
      <c r="T87" s="6"/>
      <c r="U87" s="6"/>
      <c r="V87" s="6"/>
      <c r="W87" s="6"/>
    </row>
    <row r="88" spans="1:23" x14ac:dyDescent="0.2">
      <c r="A88" s="6" t="s">
        <v>52</v>
      </c>
      <c r="Q88" s="210"/>
      <c r="R88" s="210"/>
      <c r="S88" s="6"/>
      <c r="T88" s="6"/>
      <c r="U88" s="6"/>
      <c r="V88" s="6"/>
      <c r="W88" s="6"/>
    </row>
    <row r="89" spans="1:23" x14ac:dyDescent="0.2">
      <c r="A89" s="6" t="s">
        <v>53</v>
      </c>
      <c r="Q89" s="210"/>
      <c r="R89" s="210"/>
      <c r="S89" s="6"/>
      <c r="T89" s="6"/>
      <c r="U89" s="6"/>
      <c r="V89" s="6"/>
      <c r="W89" s="6"/>
    </row>
    <row r="90" spans="1:23" x14ac:dyDescent="0.2">
      <c r="Q90" s="210"/>
      <c r="R90" s="210"/>
      <c r="S90" s="6"/>
      <c r="T90" s="6"/>
      <c r="U90" s="6"/>
      <c r="V90" s="6"/>
      <c r="W90" s="6"/>
    </row>
    <row r="91" spans="1:23" x14ac:dyDescent="0.2">
      <c r="A91" s="152"/>
      <c r="B91" s="6" t="s">
        <v>54</v>
      </c>
      <c r="Q91" s="210"/>
      <c r="R91" s="210"/>
      <c r="S91" s="6"/>
      <c r="T91" s="6"/>
      <c r="U91" s="6"/>
      <c r="V91" s="6"/>
      <c r="W91" s="6"/>
    </row>
    <row r="92" spans="1:23" x14ac:dyDescent="0.2">
      <c r="Q92" s="210"/>
      <c r="R92" s="210"/>
      <c r="S92" s="6"/>
      <c r="T92" s="6"/>
      <c r="U92" s="6"/>
      <c r="V92" s="6"/>
      <c r="W92" s="6"/>
    </row>
    <row r="93" spans="1:23" x14ac:dyDescent="0.2">
      <c r="B93" s="153" t="s">
        <v>55</v>
      </c>
      <c r="Q93" s="210"/>
      <c r="R93" s="210"/>
      <c r="S93" s="6"/>
      <c r="T93" s="6"/>
      <c r="U93" s="6"/>
      <c r="V93" s="6"/>
      <c r="W93"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0 D66 D23:D38 D52:D62 D40:D47 D49:D50 D74">
      <formula1>"Monthly, per kWh, per kW"</formula1>
    </dataValidation>
    <dataValidation type="list" allowBlank="1" showInputMessage="1" showErrorMessage="1" sqref="E49:E50 E70 E66 E52:E62 E23:E38 E40:E47 E74">
      <formula1>#REF!</formula1>
    </dataValidation>
  </dataValidations>
  <pageMargins left="0.74803149606299213" right="0.74803149606299213" top="0.98425196850393704" bottom="0.98425196850393704" header="0.51181102362204722" footer="0.51181102362204722"/>
  <pageSetup scale="55" fitToWidth="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6</xdr:col>
                    <xdr:colOff>466725</xdr:colOff>
                    <xdr:row>16</xdr:row>
                    <xdr:rowOff>190500</xdr:rowOff>
                  </from>
                  <to>
                    <xdr:col>9</xdr:col>
                    <xdr:colOff>542925</xdr:colOff>
                    <xdr:row>18</xdr:row>
                    <xdr:rowOff>47625</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9</xdr:col>
                    <xdr:colOff>352425</xdr:colOff>
                    <xdr:row>16</xdr:row>
                    <xdr:rowOff>133350</xdr:rowOff>
                  </from>
                  <to>
                    <xdr:col>14</xdr:col>
                    <xdr:colOff>409575</xdr:colOff>
                    <xdr:row>18</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87"/>
  <sheetViews>
    <sheetView showGridLines="0" tabSelected="1" view="pageBreakPreview" zoomScale="70" zoomScaleNormal="85" zoomScaleSheetLayoutView="70" workbookViewId="0">
      <selection activeCell="A3" sqref="A3:K3"/>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8.5703125" style="6" customWidth="1"/>
    <col min="8" max="8" width="11.42578125" style="6" customWidth="1"/>
    <col min="9" max="9" width="2.85546875" style="6" customWidth="1"/>
    <col min="10" max="10" width="12.140625" style="6" customWidth="1"/>
    <col min="11" max="11" width="10.42578125" style="6" customWidth="1"/>
    <col min="12" max="12" width="10.85546875" style="6" customWidth="1"/>
    <col min="13" max="13" width="2.85546875" style="6" customWidth="1"/>
    <col min="14" max="14" width="12.7109375" style="6" bestFit="1" customWidth="1"/>
    <col min="15" max="15" width="10.85546875" style="6" bestFit="1" customWidth="1"/>
    <col min="16" max="16" width="3.85546875" style="6" customWidth="1"/>
    <col min="17" max="18" width="2.85546875" style="210" customWidth="1"/>
    <col min="19" max="16384" width="9.140625" style="6"/>
  </cols>
  <sheetData>
    <row r="1" spans="1:18" s="2" customFormat="1" ht="15" customHeight="1" x14ac:dyDescent="0.2">
      <c r="A1" s="1"/>
      <c r="B1" s="1"/>
      <c r="C1" s="1"/>
      <c r="D1" s="1"/>
      <c r="E1" s="1"/>
      <c r="F1" s="1"/>
      <c r="G1" s="1"/>
      <c r="H1" s="1"/>
      <c r="I1" s="1"/>
      <c r="J1" s="1"/>
      <c r="K1" s="1"/>
      <c r="N1" s="164"/>
      <c r="O1" s="165"/>
      <c r="P1"/>
      <c r="Q1" s="210">
        <v>1</v>
      </c>
      <c r="R1" s="210">
        <v>1</v>
      </c>
    </row>
    <row r="2" spans="1:18" s="2" customFormat="1" ht="15" customHeight="1" x14ac:dyDescent="0.25">
      <c r="A2" s="3"/>
      <c r="B2" s="3"/>
      <c r="C2" s="3"/>
      <c r="D2" s="3"/>
      <c r="E2" s="3"/>
      <c r="F2" s="3"/>
      <c r="G2" s="3"/>
      <c r="H2" s="3"/>
      <c r="I2" s="3"/>
      <c r="J2" s="3"/>
      <c r="K2" s="3"/>
      <c r="N2" s="164"/>
      <c r="O2" s="166"/>
      <c r="P2"/>
      <c r="Q2" s="210"/>
      <c r="R2" s="210"/>
    </row>
    <row r="3" spans="1:18" s="2" customFormat="1" ht="15" customHeight="1" x14ac:dyDescent="0.25">
      <c r="A3" s="268"/>
      <c r="B3" s="268"/>
      <c r="C3" s="268"/>
      <c r="D3" s="268"/>
      <c r="E3" s="268"/>
      <c r="F3" s="268"/>
      <c r="G3" s="268"/>
      <c r="H3" s="268"/>
      <c r="I3" s="268"/>
      <c r="J3" s="268"/>
      <c r="K3" s="268"/>
      <c r="N3" s="164"/>
      <c r="O3" s="166"/>
      <c r="P3"/>
      <c r="Q3" s="210"/>
      <c r="R3" s="210"/>
    </row>
    <row r="4" spans="1:18" s="2" customFormat="1" ht="15" customHeight="1" x14ac:dyDescent="0.25">
      <c r="A4" s="3"/>
      <c r="B4" s="3"/>
      <c r="C4" s="3"/>
      <c r="D4" s="3"/>
      <c r="E4" s="3"/>
      <c r="F4" s="3"/>
      <c r="G4" s="3"/>
      <c r="H4" s="3"/>
      <c r="I4" s="4"/>
      <c r="J4" s="4"/>
      <c r="K4" s="4"/>
      <c r="N4" s="164"/>
      <c r="O4" s="166"/>
      <c r="P4"/>
      <c r="Q4" s="210"/>
      <c r="R4" s="210"/>
    </row>
    <row r="5" spans="1:18" s="2" customFormat="1" ht="15" customHeight="1" x14ac:dyDescent="0.25">
      <c r="C5" s="5"/>
      <c r="D5" s="5"/>
      <c r="E5" s="5"/>
      <c r="N5" s="164"/>
      <c r="O5" s="165"/>
      <c r="P5"/>
      <c r="Q5" s="210"/>
      <c r="R5" s="210"/>
    </row>
    <row r="6" spans="1:18" s="2" customFormat="1" ht="9" customHeight="1" x14ac:dyDescent="0.2">
      <c r="N6" s="164"/>
      <c r="O6" s="165"/>
      <c r="P6"/>
      <c r="Q6" s="210"/>
      <c r="R6" s="210"/>
    </row>
    <row r="7" spans="1:18" s="2" customFormat="1" x14ac:dyDescent="0.2">
      <c r="N7" s="164"/>
      <c r="O7" s="165"/>
      <c r="P7"/>
      <c r="Q7" s="210"/>
      <c r="R7" s="210"/>
    </row>
    <row r="8" spans="1:18" s="2" customFormat="1" ht="15" customHeight="1" x14ac:dyDescent="0.2">
      <c r="N8" s="6"/>
      <c r="O8"/>
      <c r="P8"/>
      <c r="Q8" s="210"/>
      <c r="R8" s="210"/>
    </row>
    <row r="9" spans="1:18" ht="7.5" customHeight="1" x14ac:dyDescent="0.2">
      <c r="L9"/>
      <c r="M9"/>
      <c r="N9"/>
      <c r="O9"/>
      <c r="P9"/>
    </row>
    <row r="10" spans="1:18" ht="18.75" customHeight="1" x14ac:dyDescent="0.25">
      <c r="C10" s="167"/>
      <c r="D10" s="167"/>
      <c r="E10" s="167"/>
      <c r="F10" s="167" t="s">
        <v>137</v>
      </c>
      <c r="G10" s="167"/>
      <c r="H10" s="167"/>
      <c r="I10" s="167"/>
      <c r="J10" s="167"/>
      <c r="K10" s="167"/>
      <c r="L10" s="167"/>
      <c r="M10" s="167"/>
      <c r="N10" s="167"/>
      <c r="O10" s="167"/>
      <c r="P10"/>
    </row>
    <row r="11" spans="1:18" ht="18.75" customHeight="1" x14ac:dyDescent="0.25">
      <c r="C11" s="167"/>
      <c r="D11" s="167"/>
      <c r="E11" s="167"/>
      <c r="F11" s="167" t="s">
        <v>0</v>
      </c>
      <c r="G11" s="167"/>
      <c r="H11" s="167"/>
      <c r="I11" s="167"/>
      <c r="J11" s="167"/>
      <c r="K11" s="167"/>
      <c r="L11" s="167"/>
      <c r="M11" s="167"/>
      <c r="N11" s="167"/>
      <c r="O11" s="167"/>
      <c r="P11"/>
    </row>
    <row r="12" spans="1:18" ht="7.5" customHeight="1" x14ac:dyDescent="0.2">
      <c r="L12"/>
      <c r="M12"/>
      <c r="N12"/>
      <c r="O12"/>
      <c r="P12"/>
    </row>
    <row r="13" spans="1:18" ht="7.5" customHeight="1" x14ac:dyDescent="0.2">
      <c r="L13"/>
      <c r="M13"/>
      <c r="N13"/>
      <c r="O13"/>
      <c r="P13"/>
    </row>
    <row r="14" spans="1:18" ht="15.75" x14ac:dyDescent="0.2">
      <c r="B14" s="7" t="s">
        <v>1</v>
      </c>
      <c r="D14" s="269" t="s">
        <v>2</v>
      </c>
      <c r="E14" s="269"/>
      <c r="F14" s="269"/>
      <c r="G14" s="269"/>
      <c r="H14" s="269"/>
      <c r="I14" s="269"/>
      <c r="J14" s="269"/>
      <c r="K14" s="269"/>
      <c r="L14" s="269"/>
      <c r="M14" s="269"/>
      <c r="N14" s="269"/>
      <c r="O14" s="269"/>
      <c r="P14" s="170"/>
    </row>
    <row r="15" spans="1:18" ht="7.5" customHeight="1" x14ac:dyDescent="0.25">
      <c r="B15" s="8"/>
      <c r="D15" s="9"/>
      <c r="E15" s="9"/>
      <c r="F15" s="9"/>
      <c r="G15" s="9"/>
      <c r="H15" s="9"/>
      <c r="I15" s="9"/>
      <c r="J15" s="9"/>
      <c r="K15" s="9"/>
      <c r="L15" s="9"/>
      <c r="M15" s="9"/>
      <c r="N15" s="9"/>
      <c r="O15" s="9"/>
    </row>
    <row r="16" spans="1:18" ht="15.75" x14ac:dyDescent="0.25">
      <c r="B16" s="7" t="s">
        <v>3</v>
      </c>
      <c r="D16" s="10" t="s">
        <v>4</v>
      </c>
      <c r="E16" s="9"/>
      <c r="F16" s="9"/>
      <c r="G16" s="9"/>
      <c r="H16" s="9"/>
      <c r="I16" s="9"/>
      <c r="J16" s="9"/>
      <c r="K16" s="9"/>
      <c r="L16" s="9"/>
      <c r="M16" s="9"/>
      <c r="N16" s="9"/>
      <c r="O16" s="9"/>
    </row>
    <row r="17" spans="2:18" ht="15.75" x14ac:dyDescent="0.25">
      <c r="B17" s="8"/>
      <c r="D17" s="9"/>
      <c r="E17" s="9"/>
      <c r="F17" s="9"/>
      <c r="G17" s="9"/>
      <c r="H17" s="9"/>
      <c r="I17" s="9"/>
      <c r="J17" s="9"/>
      <c r="K17" s="9"/>
      <c r="L17" s="9"/>
      <c r="M17" s="9"/>
      <c r="N17" s="9"/>
      <c r="O17" s="9"/>
    </row>
    <row r="18" spans="2:18" x14ac:dyDescent="0.2">
      <c r="B18" s="11"/>
      <c r="D18" s="12" t="s">
        <v>5</v>
      </c>
      <c r="E18" s="12"/>
      <c r="F18" s="13">
        <v>100</v>
      </c>
      <c r="G18" s="12" t="s">
        <v>6</v>
      </c>
    </row>
    <row r="19" spans="2:18" x14ac:dyDescent="0.2">
      <c r="B19" s="11"/>
    </row>
    <row r="20" spans="2:18" x14ac:dyDescent="0.2">
      <c r="B20" s="11"/>
      <c r="D20" s="14"/>
      <c r="E20" s="14"/>
      <c r="F20" s="270" t="s">
        <v>7</v>
      </c>
      <c r="G20" s="271"/>
      <c r="H20" s="272"/>
      <c r="J20" s="270" t="s">
        <v>8</v>
      </c>
      <c r="K20" s="271"/>
      <c r="L20" s="272"/>
      <c r="N20" s="270" t="s">
        <v>9</v>
      </c>
      <c r="O20" s="272"/>
    </row>
    <row r="21" spans="2:18" x14ac:dyDescent="0.2">
      <c r="B21" s="11"/>
      <c r="D21" s="262" t="s">
        <v>10</v>
      </c>
      <c r="E21" s="15"/>
      <c r="F21" s="16" t="s">
        <v>11</v>
      </c>
      <c r="G21" s="16" t="s">
        <v>12</v>
      </c>
      <c r="H21" s="17" t="s">
        <v>13</v>
      </c>
      <c r="J21" s="16" t="s">
        <v>11</v>
      </c>
      <c r="K21" s="18" t="s">
        <v>12</v>
      </c>
      <c r="L21" s="17" t="s">
        <v>13</v>
      </c>
      <c r="N21" s="264" t="s">
        <v>14</v>
      </c>
      <c r="O21" s="266" t="s">
        <v>15</v>
      </c>
    </row>
    <row r="22" spans="2:18" x14ac:dyDescent="0.2">
      <c r="B22" s="11"/>
      <c r="D22" s="263"/>
      <c r="E22" s="15"/>
      <c r="F22" s="19" t="s">
        <v>16</v>
      </c>
      <c r="G22" s="19"/>
      <c r="H22" s="20" t="s">
        <v>16</v>
      </c>
      <c r="J22" s="19" t="s">
        <v>16</v>
      </c>
      <c r="K22" s="20"/>
      <c r="L22" s="20" t="s">
        <v>16</v>
      </c>
      <c r="N22" s="265"/>
      <c r="O22" s="267"/>
    </row>
    <row r="23" spans="2:18" x14ac:dyDescent="0.2">
      <c r="B23" s="21" t="s">
        <v>17</v>
      </c>
      <c r="C23" s="21"/>
      <c r="D23" s="22" t="s">
        <v>18</v>
      </c>
      <c r="E23" s="23"/>
      <c r="F23" s="24">
        <f>'Proposed Rates'!D7</f>
        <v>12.96</v>
      </c>
      <c r="G23" s="25">
        <v>1</v>
      </c>
      <c r="H23" s="26">
        <f>G23*F23</f>
        <v>12.96</v>
      </c>
      <c r="I23" s="27"/>
      <c r="J23" s="28">
        <f>+'Proposed Rates'!E7</f>
        <v>16.600000000000001</v>
      </c>
      <c r="K23" s="29">
        <v>1</v>
      </c>
      <c r="L23" s="26">
        <f>K23*J23</f>
        <v>16.600000000000001</v>
      </c>
      <c r="M23" s="27"/>
      <c r="N23" s="30">
        <f>L23-H23</f>
        <v>3.6400000000000006</v>
      </c>
      <c r="O23" s="31">
        <f>IF((H23)=0,"",(N23/H23))</f>
        <v>0.28086419753086422</v>
      </c>
      <c r="Q23" s="207"/>
      <c r="R23" s="207"/>
    </row>
    <row r="24" spans="2:18" x14ac:dyDescent="0.2">
      <c r="B24" s="21" t="s">
        <v>19</v>
      </c>
      <c r="C24" s="21"/>
      <c r="D24" s="22"/>
      <c r="E24" s="23"/>
      <c r="F24" s="24"/>
      <c r="G24" s="25">
        <v>1</v>
      </c>
      <c r="H24" s="26">
        <f t="shared" ref="H24:H38" si="0">G24*F24</f>
        <v>0</v>
      </c>
      <c r="I24" s="27"/>
      <c r="J24" s="28"/>
      <c r="K24" s="29">
        <v>1</v>
      </c>
      <c r="L24" s="26">
        <f>K24*J24</f>
        <v>0</v>
      </c>
      <c r="M24" s="27"/>
      <c r="N24" s="30">
        <f>L24-H24</f>
        <v>0</v>
      </c>
      <c r="O24" s="31" t="str">
        <f>IF((H24)=0,"",(N24/H24))</f>
        <v/>
      </c>
      <c r="Q24" s="207"/>
      <c r="R24" s="207"/>
    </row>
    <row r="25" spans="2:18" x14ac:dyDescent="0.2">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207"/>
      <c r="R25" s="207"/>
    </row>
    <row r="26" spans="2:18" x14ac:dyDescent="0.2">
      <c r="B26" s="32"/>
      <c r="C26" s="21"/>
      <c r="D26" s="22"/>
      <c r="E26" s="23"/>
      <c r="F26" s="24"/>
      <c r="G26" s="25">
        <v>1</v>
      </c>
      <c r="H26" s="26">
        <f t="shared" si="0"/>
        <v>0</v>
      </c>
      <c r="I26" s="27"/>
      <c r="J26" s="28"/>
      <c r="K26" s="29">
        <v>1</v>
      </c>
      <c r="L26" s="26">
        <f t="shared" si="1"/>
        <v>0</v>
      </c>
      <c r="M26" s="27"/>
      <c r="N26" s="30">
        <f t="shared" si="2"/>
        <v>0</v>
      </c>
      <c r="O26" s="31" t="str">
        <f t="shared" si="3"/>
        <v/>
      </c>
      <c r="Q26" s="207"/>
      <c r="R26" s="207"/>
    </row>
    <row r="27" spans="2:18" x14ac:dyDescent="0.2">
      <c r="B27" s="32"/>
      <c r="C27" s="21"/>
      <c r="D27" s="22"/>
      <c r="E27" s="23"/>
      <c r="F27" s="24"/>
      <c r="G27" s="25">
        <v>1</v>
      </c>
      <c r="H27" s="26">
        <f t="shared" si="0"/>
        <v>0</v>
      </c>
      <c r="I27" s="27"/>
      <c r="J27" s="28"/>
      <c r="K27" s="29">
        <v>1</v>
      </c>
      <c r="L27" s="26">
        <f t="shared" si="1"/>
        <v>0</v>
      </c>
      <c r="M27" s="27"/>
      <c r="N27" s="30">
        <f t="shared" si="2"/>
        <v>0</v>
      </c>
      <c r="O27" s="31" t="str">
        <f t="shared" si="3"/>
        <v/>
      </c>
      <c r="Q27" s="207"/>
      <c r="R27" s="207"/>
    </row>
    <row r="28" spans="2:18" x14ac:dyDescent="0.2">
      <c r="B28" s="32"/>
      <c r="C28" s="21"/>
      <c r="D28" s="22"/>
      <c r="E28" s="23"/>
      <c r="F28" s="24"/>
      <c r="G28" s="25">
        <v>1</v>
      </c>
      <c r="H28" s="26">
        <f t="shared" si="0"/>
        <v>0</v>
      </c>
      <c r="I28" s="27"/>
      <c r="J28" s="28"/>
      <c r="K28" s="29">
        <v>1</v>
      </c>
      <c r="L28" s="26">
        <f t="shared" si="1"/>
        <v>0</v>
      </c>
      <c r="M28" s="27"/>
      <c r="N28" s="30">
        <f t="shared" si="2"/>
        <v>0</v>
      </c>
      <c r="O28" s="31" t="str">
        <f t="shared" si="3"/>
        <v/>
      </c>
      <c r="Q28" s="207"/>
      <c r="R28" s="207"/>
    </row>
    <row r="29" spans="2:18" x14ac:dyDescent="0.2">
      <c r="B29" s="21" t="s">
        <v>20</v>
      </c>
      <c r="C29" s="21"/>
      <c r="D29" s="22" t="s">
        <v>21</v>
      </c>
      <c r="E29" s="23"/>
      <c r="F29" s="24">
        <f>'Proposed Rates'!D20</f>
        <v>1.9300000000000001E-2</v>
      </c>
      <c r="G29" s="25">
        <f>$F$18</f>
        <v>100</v>
      </c>
      <c r="H29" s="26">
        <f t="shared" si="0"/>
        <v>1.9300000000000002</v>
      </c>
      <c r="I29" s="27"/>
      <c r="J29" s="28">
        <f>+'Proposed Rates'!E20</f>
        <v>1.5100000000000001E-2</v>
      </c>
      <c r="K29" s="25">
        <f>$F$18</f>
        <v>100</v>
      </c>
      <c r="L29" s="26">
        <f t="shared" si="1"/>
        <v>1.51</v>
      </c>
      <c r="M29" s="27"/>
      <c r="N29" s="30">
        <f t="shared" si="2"/>
        <v>-0.42000000000000015</v>
      </c>
      <c r="O29" s="31">
        <f t="shared" si="3"/>
        <v>-0.21761658031088088</v>
      </c>
      <c r="Q29" s="207"/>
      <c r="R29" s="207"/>
    </row>
    <row r="30" spans="2:18" x14ac:dyDescent="0.2">
      <c r="B30" s="21" t="s">
        <v>22</v>
      </c>
      <c r="C30" s="21"/>
      <c r="D30" s="22"/>
      <c r="E30" s="23"/>
      <c r="F30" s="24"/>
      <c r="G30" s="25">
        <f t="shared" ref="G30" si="4">$F$18</f>
        <v>100</v>
      </c>
      <c r="H30" s="26">
        <f t="shared" si="0"/>
        <v>0</v>
      </c>
      <c r="I30" s="27"/>
      <c r="J30" s="28"/>
      <c r="K30" s="25">
        <f t="shared" ref="K30:K38" si="5">$F$18</f>
        <v>100</v>
      </c>
      <c r="L30" s="26">
        <f t="shared" si="1"/>
        <v>0</v>
      </c>
      <c r="M30" s="27"/>
      <c r="N30" s="30">
        <f t="shared" si="2"/>
        <v>0</v>
      </c>
      <c r="O30" s="31" t="str">
        <f t="shared" si="3"/>
        <v/>
      </c>
      <c r="Q30" s="207"/>
      <c r="R30" s="207"/>
    </row>
    <row r="31" spans="2:18" x14ac:dyDescent="0.2">
      <c r="B31" s="21" t="s">
        <v>23</v>
      </c>
      <c r="C31" s="21"/>
      <c r="D31" s="22" t="s">
        <v>21</v>
      </c>
      <c r="E31" s="23"/>
      <c r="F31" s="50">
        <f>'Proposed Rates'!D67</f>
        <v>-2.0000000000000002E-5</v>
      </c>
      <c r="G31" s="25">
        <f>$F$18</f>
        <v>100</v>
      </c>
      <c r="H31" s="205">
        <f>G31*F31</f>
        <v>-2E-3</v>
      </c>
      <c r="I31" s="27"/>
      <c r="J31" s="52">
        <f>+'Proposed Rates'!E67</f>
        <v>0</v>
      </c>
      <c r="K31" s="25">
        <f t="shared" si="5"/>
        <v>100</v>
      </c>
      <c r="L31" s="26">
        <f t="shared" si="1"/>
        <v>0</v>
      </c>
      <c r="M31" s="27"/>
      <c r="N31" s="30">
        <f t="shared" si="2"/>
        <v>2E-3</v>
      </c>
      <c r="O31" s="31">
        <f t="shared" si="3"/>
        <v>-1</v>
      </c>
      <c r="Q31" s="207"/>
      <c r="R31" s="207"/>
    </row>
    <row r="32" spans="2:18" x14ac:dyDescent="0.2">
      <c r="B32" s="33"/>
      <c r="C32" s="21"/>
      <c r="D32" s="22"/>
      <c r="E32" s="23"/>
      <c r="F32" s="24"/>
      <c r="G32" s="25">
        <f t="shared" ref="G32:G38" si="6">$F$18</f>
        <v>100</v>
      </c>
      <c r="H32" s="26">
        <f t="shared" si="0"/>
        <v>0</v>
      </c>
      <c r="I32" s="27"/>
      <c r="J32" s="28"/>
      <c r="K32" s="25">
        <f t="shared" si="5"/>
        <v>100</v>
      </c>
      <c r="L32" s="26">
        <f t="shared" si="1"/>
        <v>0</v>
      </c>
      <c r="M32" s="27"/>
      <c r="N32" s="30">
        <f t="shared" si="2"/>
        <v>0</v>
      </c>
      <c r="O32" s="31" t="str">
        <f t="shared" si="3"/>
        <v/>
      </c>
      <c r="Q32" s="207"/>
      <c r="R32" s="207"/>
    </row>
    <row r="33" spans="2:18" x14ac:dyDescent="0.2">
      <c r="B33" s="33"/>
      <c r="C33" s="21"/>
      <c r="D33" s="22"/>
      <c r="E33" s="23"/>
      <c r="F33" s="24"/>
      <c r="G33" s="25">
        <f t="shared" si="6"/>
        <v>100</v>
      </c>
      <c r="H33" s="26">
        <f t="shared" si="0"/>
        <v>0</v>
      </c>
      <c r="I33" s="27"/>
      <c r="J33" s="28"/>
      <c r="K33" s="25">
        <f t="shared" si="5"/>
        <v>100</v>
      </c>
      <c r="L33" s="26">
        <f t="shared" si="1"/>
        <v>0</v>
      </c>
      <c r="M33" s="27"/>
      <c r="N33" s="30">
        <f t="shared" si="2"/>
        <v>0</v>
      </c>
      <c r="O33" s="31" t="str">
        <f t="shared" si="3"/>
        <v/>
      </c>
      <c r="Q33" s="207"/>
      <c r="R33" s="207"/>
    </row>
    <row r="34" spans="2:18" x14ac:dyDescent="0.2">
      <c r="B34" s="33"/>
      <c r="C34" s="21"/>
      <c r="D34" s="22"/>
      <c r="E34" s="23"/>
      <c r="F34" s="24"/>
      <c r="G34" s="25">
        <f t="shared" si="6"/>
        <v>100</v>
      </c>
      <c r="H34" s="26">
        <f t="shared" si="0"/>
        <v>0</v>
      </c>
      <c r="I34" s="27"/>
      <c r="J34" s="28"/>
      <c r="K34" s="25">
        <f t="shared" si="5"/>
        <v>100</v>
      </c>
      <c r="L34" s="26">
        <f t="shared" si="1"/>
        <v>0</v>
      </c>
      <c r="M34" s="27"/>
      <c r="N34" s="30">
        <f t="shared" si="2"/>
        <v>0</v>
      </c>
      <c r="O34" s="31" t="str">
        <f t="shared" si="3"/>
        <v/>
      </c>
      <c r="Q34" s="207"/>
      <c r="R34" s="207"/>
    </row>
    <row r="35" spans="2:18" x14ac:dyDescent="0.2">
      <c r="B35" s="33"/>
      <c r="C35" s="21"/>
      <c r="D35" s="22"/>
      <c r="E35" s="23"/>
      <c r="F35" s="24"/>
      <c r="G35" s="25">
        <f t="shared" si="6"/>
        <v>100</v>
      </c>
      <c r="H35" s="26">
        <f t="shared" si="0"/>
        <v>0</v>
      </c>
      <c r="I35" s="27"/>
      <c r="J35" s="28"/>
      <c r="K35" s="25">
        <f t="shared" si="5"/>
        <v>100</v>
      </c>
      <c r="L35" s="26">
        <f t="shared" si="1"/>
        <v>0</v>
      </c>
      <c r="M35" s="27"/>
      <c r="N35" s="30">
        <f t="shared" si="2"/>
        <v>0</v>
      </c>
      <c r="O35" s="31" t="str">
        <f t="shared" si="3"/>
        <v/>
      </c>
      <c r="Q35" s="207"/>
      <c r="R35" s="207"/>
    </row>
    <row r="36" spans="2:18" x14ac:dyDescent="0.2">
      <c r="B36" s="33"/>
      <c r="C36" s="21"/>
      <c r="D36" s="22"/>
      <c r="E36" s="23"/>
      <c r="F36" s="24"/>
      <c r="G36" s="25">
        <f t="shared" si="6"/>
        <v>100</v>
      </c>
      <c r="H36" s="26">
        <f t="shared" si="0"/>
        <v>0</v>
      </c>
      <c r="I36" s="27"/>
      <c r="J36" s="28"/>
      <c r="K36" s="25">
        <f t="shared" si="5"/>
        <v>100</v>
      </c>
      <c r="L36" s="26">
        <f t="shared" si="1"/>
        <v>0</v>
      </c>
      <c r="M36" s="27"/>
      <c r="N36" s="30">
        <f t="shared" si="2"/>
        <v>0</v>
      </c>
      <c r="O36" s="31" t="str">
        <f t="shared" si="3"/>
        <v/>
      </c>
      <c r="Q36" s="207"/>
      <c r="R36" s="207"/>
    </row>
    <row r="37" spans="2:18" x14ac:dyDescent="0.2">
      <c r="B37" s="33"/>
      <c r="C37" s="21"/>
      <c r="D37" s="22"/>
      <c r="E37" s="23"/>
      <c r="F37" s="24"/>
      <c r="G37" s="25">
        <f t="shared" si="6"/>
        <v>100</v>
      </c>
      <c r="H37" s="26">
        <f t="shared" si="0"/>
        <v>0</v>
      </c>
      <c r="I37" s="27"/>
      <c r="J37" s="28"/>
      <c r="K37" s="25">
        <f t="shared" si="5"/>
        <v>100</v>
      </c>
      <c r="L37" s="26">
        <f t="shared" si="1"/>
        <v>0</v>
      </c>
      <c r="M37" s="27"/>
      <c r="N37" s="30">
        <f t="shared" si="2"/>
        <v>0</v>
      </c>
      <c r="O37" s="31" t="str">
        <f t="shared" si="3"/>
        <v/>
      </c>
      <c r="Q37" s="207"/>
      <c r="R37" s="207"/>
    </row>
    <row r="38" spans="2:18" x14ac:dyDescent="0.2">
      <c r="B38" s="33"/>
      <c r="C38" s="21"/>
      <c r="D38" s="22"/>
      <c r="E38" s="23"/>
      <c r="F38" s="24"/>
      <c r="G38" s="25">
        <f t="shared" si="6"/>
        <v>100</v>
      </c>
      <c r="H38" s="26">
        <f t="shared" si="0"/>
        <v>0</v>
      </c>
      <c r="I38" s="27"/>
      <c r="J38" s="28"/>
      <c r="K38" s="25">
        <f t="shared" si="5"/>
        <v>100</v>
      </c>
      <c r="L38" s="26">
        <f t="shared" si="1"/>
        <v>0</v>
      </c>
      <c r="M38" s="27"/>
      <c r="N38" s="30">
        <f t="shared" si="2"/>
        <v>0</v>
      </c>
      <c r="O38" s="31" t="str">
        <f t="shared" si="3"/>
        <v/>
      </c>
      <c r="Q38" s="207"/>
      <c r="R38" s="207"/>
    </row>
    <row r="39" spans="2:18" s="45" customFormat="1" x14ac:dyDescent="0.2">
      <c r="B39" s="34" t="s">
        <v>24</v>
      </c>
      <c r="C39" s="35"/>
      <c r="D39" s="36"/>
      <c r="E39" s="35"/>
      <c r="F39" s="37"/>
      <c r="G39" s="38"/>
      <c r="H39" s="39">
        <f>SUM(H23:H38)</f>
        <v>14.888</v>
      </c>
      <c r="I39" s="40"/>
      <c r="J39" s="41"/>
      <c r="K39" s="42"/>
      <c r="L39" s="39">
        <f>SUM(L23:L38)</f>
        <v>18.110000000000003</v>
      </c>
      <c r="M39" s="40"/>
      <c r="N39" s="43">
        <f t="shared" si="2"/>
        <v>3.2220000000000031</v>
      </c>
      <c r="O39" s="44">
        <f t="shared" si="3"/>
        <v>0.21641590542718989</v>
      </c>
      <c r="Q39" s="207"/>
      <c r="R39" s="207"/>
    </row>
    <row r="40" spans="2:18" ht="38.25" x14ac:dyDescent="0.2">
      <c r="B40" s="154" t="s">
        <v>101</v>
      </c>
      <c r="C40" s="21"/>
      <c r="D40" s="22" t="s">
        <v>21</v>
      </c>
      <c r="E40" s="23"/>
      <c r="F40" s="233">
        <f>'Proposed Rates'!D38</f>
        <v>-8.2600000000000002E-4</v>
      </c>
      <c r="G40" s="25">
        <f>$F$18</f>
        <v>100</v>
      </c>
      <c r="H40" s="26">
        <f>G40*F40</f>
        <v>-8.2600000000000007E-2</v>
      </c>
      <c r="I40" s="27"/>
      <c r="J40" s="28">
        <f>+'Proposed Rates'!E38</f>
        <v>-1E-4</v>
      </c>
      <c r="K40" s="25">
        <f>$F$18</f>
        <v>100</v>
      </c>
      <c r="L40" s="26">
        <f>K40*J40</f>
        <v>-0.01</v>
      </c>
      <c r="M40" s="27"/>
      <c r="N40" s="30">
        <f>L40-H40</f>
        <v>7.2600000000000012E-2</v>
      </c>
      <c r="O40" s="31">
        <f>IF((H40)=0,"",(N40/H40))</f>
        <v>-0.87893462469733663</v>
      </c>
      <c r="Q40" s="207"/>
      <c r="R40" s="207"/>
    </row>
    <row r="41" spans="2:18" ht="38.25" x14ac:dyDescent="0.2">
      <c r="B41" s="154" t="s">
        <v>100</v>
      </c>
      <c r="C41" s="21"/>
      <c r="D41" s="22" t="s">
        <v>18</v>
      </c>
      <c r="E41" s="23"/>
      <c r="F41" s="24">
        <f>'Proposed Rates'!D52</f>
        <v>0.32</v>
      </c>
      <c r="G41" s="25">
        <v>1</v>
      </c>
      <c r="H41" s="26">
        <f>G41*F41</f>
        <v>0.32</v>
      </c>
      <c r="I41" s="47"/>
      <c r="J41" s="28">
        <f>+'Proposed Rates'!E52</f>
        <v>0.02</v>
      </c>
      <c r="K41" s="25">
        <v>1</v>
      </c>
      <c r="L41" s="26">
        <f t="shared" ref="L41:L45" si="7">K41*J41</f>
        <v>0.02</v>
      </c>
      <c r="M41" s="48"/>
      <c r="N41" s="30">
        <f t="shared" ref="N41:N45" si="8">L41-H41</f>
        <v>-0.3</v>
      </c>
      <c r="O41" s="31">
        <f t="shared" ref="O41:O63" si="9">IF((H41)=0,"",(N41/H41))</f>
        <v>-0.9375</v>
      </c>
      <c r="Q41" s="207"/>
      <c r="R41" s="207"/>
    </row>
    <row r="42" spans="2:18" ht="38.25" x14ac:dyDescent="0.2">
      <c r="B42" s="154" t="s">
        <v>108</v>
      </c>
      <c r="C42" s="21"/>
      <c r="D42" s="22" t="s">
        <v>21</v>
      </c>
      <c r="E42" s="23"/>
      <c r="F42" s="24">
        <f>'Proposed Rates'!D97</f>
        <v>-1.5089999999999999E-3</v>
      </c>
      <c r="G42" s="25">
        <f t="shared" ref="G42" si="10">$F$18</f>
        <v>100</v>
      </c>
      <c r="H42" s="26">
        <f t="shared" ref="H42:H45" si="11">G42*F42</f>
        <v>-0.15089999999999998</v>
      </c>
      <c r="I42" s="47"/>
      <c r="J42" s="28">
        <f>+'Proposed Rates'!E97</f>
        <v>-2.3E-3</v>
      </c>
      <c r="K42" s="25">
        <f t="shared" ref="K42:K43" si="12">$F$18</f>
        <v>100</v>
      </c>
      <c r="L42" s="26">
        <f t="shared" si="7"/>
        <v>-0.22999999999999998</v>
      </c>
      <c r="M42" s="48"/>
      <c r="N42" s="30">
        <f t="shared" si="8"/>
        <v>-7.9100000000000004E-2</v>
      </c>
      <c r="O42" s="31">
        <f t="shared" si="9"/>
        <v>0.52418820410868139</v>
      </c>
      <c r="Q42" s="207"/>
      <c r="R42" s="207"/>
    </row>
    <row r="43" spans="2:18" ht="42.75" customHeight="1" x14ac:dyDescent="0.2">
      <c r="B43" s="46" t="s">
        <v>128</v>
      </c>
      <c r="C43" s="21"/>
      <c r="D43" s="22" t="s">
        <v>21</v>
      </c>
      <c r="E43" s="23"/>
      <c r="F43" s="24">
        <f>'Proposed Rates'!D111</f>
        <v>0</v>
      </c>
      <c r="G43" s="51">
        <f>$F$18</f>
        <v>100</v>
      </c>
      <c r="H43" s="26">
        <f t="shared" si="11"/>
        <v>0</v>
      </c>
      <c r="I43" s="47"/>
      <c r="J43" s="233">
        <f>'Proposed Rates'!E111</f>
        <v>2.7E-4</v>
      </c>
      <c r="K43" s="25">
        <f t="shared" si="12"/>
        <v>100</v>
      </c>
      <c r="L43" s="26">
        <f t="shared" si="7"/>
        <v>2.7E-2</v>
      </c>
      <c r="M43" s="48"/>
      <c r="N43" s="30">
        <f t="shared" si="8"/>
        <v>2.7E-2</v>
      </c>
      <c r="O43" s="31" t="str">
        <f t="shared" si="9"/>
        <v/>
      </c>
      <c r="Q43" s="207"/>
      <c r="R43" s="207"/>
    </row>
    <row r="44" spans="2:18" x14ac:dyDescent="0.2">
      <c r="B44" s="49" t="s">
        <v>26</v>
      </c>
      <c r="C44" s="21"/>
      <c r="D44" s="22" t="s">
        <v>21</v>
      </c>
      <c r="E44" s="23"/>
      <c r="F44" s="50">
        <f>'Proposed Rates'!D126</f>
        <v>6.9999999999999994E-5</v>
      </c>
      <c r="G44" s="51">
        <f>$F$18*(1+F70)</f>
        <v>103.35000000000001</v>
      </c>
      <c r="H44" s="26">
        <f>G44*F44</f>
        <v>7.2344999999999996E-3</v>
      </c>
      <c r="I44" s="27"/>
      <c r="J44" s="52">
        <f>'Proposed Rates'!E126</f>
        <v>6.9999999999999994E-5</v>
      </c>
      <c r="K44" s="51">
        <f>$F$18*(1+J70)</f>
        <v>103.35000000000001</v>
      </c>
      <c r="L44" s="26">
        <f>K44*J44</f>
        <v>7.2344999999999996E-3</v>
      </c>
      <c r="M44" s="27"/>
      <c r="N44" s="30">
        <f>L44-H44</f>
        <v>0</v>
      </c>
      <c r="O44" s="31">
        <f>IF((H44)=0,"",(N44/H44))</f>
        <v>0</v>
      </c>
      <c r="Q44" s="207"/>
      <c r="R44" s="207"/>
    </row>
    <row r="45" spans="2:18" x14ac:dyDescent="0.2">
      <c r="B45" s="49" t="s">
        <v>27</v>
      </c>
      <c r="C45" s="21"/>
      <c r="D45" s="22"/>
      <c r="E45" s="23"/>
      <c r="F45" s="53">
        <f>IF(ISBLANK(D16)=TRUE, 0, IF(D16="TOU", 0.65*$F$55+0.17*$F$56+0.18*$F$57, IF(AND(D16="non-TOU", G59&gt;0), F59,F58)))</f>
        <v>0.11139</v>
      </c>
      <c r="G45" s="54">
        <f>$F$18*(1+$F$70)-$F$18</f>
        <v>3.3500000000000085</v>
      </c>
      <c r="H45" s="26">
        <f t="shared" si="11"/>
        <v>0.37315650000000095</v>
      </c>
      <c r="I45" s="27"/>
      <c r="J45" s="55">
        <f>0.65*$J$55+0.17*$J$56+0.18*$J$57</f>
        <v>0.11139</v>
      </c>
      <c r="K45" s="54">
        <f>$F$18*(1+$J$70)-$F$18</f>
        <v>3.3500000000000085</v>
      </c>
      <c r="L45" s="26">
        <f t="shared" si="7"/>
        <v>0.37315650000000095</v>
      </c>
      <c r="M45" s="27"/>
      <c r="N45" s="30">
        <f t="shared" si="8"/>
        <v>0</v>
      </c>
      <c r="O45" s="31">
        <f t="shared" si="9"/>
        <v>0</v>
      </c>
      <c r="Q45" s="207"/>
      <c r="R45" s="207"/>
    </row>
    <row r="46" spans="2:18" x14ac:dyDescent="0.2">
      <c r="B46" s="49" t="s">
        <v>28</v>
      </c>
      <c r="C46" s="21"/>
      <c r="D46" s="22" t="s">
        <v>18</v>
      </c>
      <c r="E46" s="23"/>
      <c r="F46" s="53">
        <f>'Proposed Rates'!D141</f>
        <v>0.79</v>
      </c>
      <c r="G46" s="25">
        <v>1</v>
      </c>
      <c r="H46" s="26">
        <f>G46*F46</f>
        <v>0.79</v>
      </c>
      <c r="I46" s="27"/>
      <c r="J46" s="53">
        <f>'Proposed Rates'!E141</f>
        <v>0.79</v>
      </c>
      <c r="K46" s="25">
        <v>1</v>
      </c>
      <c r="L46" s="26">
        <f>K46*J46</f>
        <v>0.79</v>
      </c>
      <c r="M46" s="27"/>
      <c r="N46" s="30">
        <f>L46-H46</f>
        <v>0</v>
      </c>
      <c r="O46" s="31">
        <f t="shared" si="9"/>
        <v>0</v>
      </c>
      <c r="Q46" s="207"/>
      <c r="R46" s="207"/>
    </row>
    <row r="47" spans="2:18" ht="25.5" x14ac:dyDescent="0.2">
      <c r="B47" s="56" t="s">
        <v>29</v>
      </c>
      <c r="C47" s="57"/>
      <c r="D47" s="57"/>
      <c r="E47" s="57"/>
      <c r="F47" s="58"/>
      <c r="G47" s="59"/>
      <c r="H47" s="60">
        <f>SUM(H40:H46)+H39</f>
        <v>16.144891000000001</v>
      </c>
      <c r="I47" s="40"/>
      <c r="J47" s="59"/>
      <c r="K47" s="61"/>
      <c r="L47" s="60">
        <f>SUM(L40:L46)+L39</f>
        <v>19.087391000000004</v>
      </c>
      <c r="M47" s="40"/>
      <c r="N47" s="43">
        <f t="shared" ref="N47:N63" si="13">L47-H47</f>
        <v>2.9425000000000026</v>
      </c>
      <c r="O47" s="44">
        <f t="shared" si="9"/>
        <v>0.18225579844422624</v>
      </c>
      <c r="Q47" s="207"/>
      <c r="R47" s="207"/>
    </row>
    <row r="48" spans="2:18" x14ac:dyDescent="0.2">
      <c r="B48" s="27" t="s">
        <v>30</v>
      </c>
      <c r="C48" s="27"/>
      <c r="D48" s="62" t="s">
        <v>21</v>
      </c>
      <c r="E48" s="63"/>
      <c r="F48" s="28">
        <f>'Proposed Rates'!D156</f>
        <v>7.6E-3</v>
      </c>
      <c r="G48" s="64">
        <f>F18*(1+F70)</f>
        <v>103.35000000000001</v>
      </c>
      <c r="H48" s="26">
        <f>G48*F48</f>
        <v>0.78546000000000005</v>
      </c>
      <c r="I48" s="27"/>
      <c r="J48" s="28">
        <f>'Proposed Rates'!E156</f>
        <v>7.4000000000000003E-3</v>
      </c>
      <c r="K48" s="65">
        <f>F18*(1+J70)</f>
        <v>103.35000000000001</v>
      </c>
      <c r="L48" s="26">
        <f>K48*J48</f>
        <v>0.76479000000000008</v>
      </c>
      <c r="M48" s="27"/>
      <c r="N48" s="30">
        <f t="shared" si="13"/>
        <v>-2.0669999999999966E-2</v>
      </c>
      <c r="O48" s="31">
        <f t="shared" si="9"/>
        <v>-2.6315789473684167E-2</v>
      </c>
      <c r="Q48" s="207"/>
      <c r="R48" s="207"/>
    </row>
    <row r="49" spans="2:18" ht="25.5" x14ac:dyDescent="0.2">
      <c r="B49" s="66" t="s">
        <v>31</v>
      </c>
      <c r="C49" s="27"/>
      <c r="D49" s="62" t="s">
        <v>21</v>
      </c>
      <c r="E49" s="63"/>
      <c r="F49" s="28">
        <f>'Proposed Rates'!D171</f>
        <v>4.7000000000000002E-3</v>
      </c>
      <c r="G49" s="64">
        <f>G48</f>
        <v>103.35000000000001</v>
      </c>
      <c r="H49" s="26">
        <f>G49*F49</f>
        <v>0.48574500000000004</v>
      </c>
      <c r="I49" s="27"/>
      <c r="J49" s="28">
        <f>'Proposed Rates'!E171</f>
        <v>4.7000000000000002E-3</v>
      </c>
      <c r="K49" s="65">
        <f>K48</f>
        <v>103.35000000000001</v>
      </c>
      <c r="L49" s="26">
        <f>K49*J49</f>
        <v>0.48574500000000004</v>
      </c>
      <c r="M49" s="27"/>
      <c r="N49" s="30">
        <f t="shared" si="13"/>
        <v>0</v>
      </c>
      <c r="O49" s="31">
        <f t="shared" si="9"/>
        <v>0</v>
      </c>
      <c r="Q49" s="207"/>
      <c r="R49" s="207"/>
    </row>
    <row r="50" spans="2:18" ht="25.5" x14ac:dyDescent="0.2">
      <c r="B50" s="56" t="s">
        <v>32</v>
      </c>
      <c r="C50" s="35"/>
      <c r="D50" s="35"/>
      <c r="E50" s="35"/>
      <c r="F50" s="67"/>
      <c r="G50" s="59"/>
      <c r="H50" s="60">
        <f>SUM(H47:H49)</f>
        <v>17.416096000000003</v>
      </c>
      <c r="I50" s="68"/>
      <c r="J50" s="69"/>
      <c r="K50" s="70"/>
      <c r="L50" s="60">
        <f>SUM(L47:L49)</f>
        <v>20.337926000000007</v>
      </c>
      <c r="M50" s="68"/>
      <c r="N50" s="43">
        <f t="shared" si="13"/>
        <v>2.9218300000000035</v>
      </c>
      <c r="O50" s="44">
        <f t="shared" si="9"/>
        <v>0.167766071110311</v>
      </c>
      <c r="Q50" s="206"/>
      <c r="R50" s="206"/>
    </row>
    <row r="51" spans="2:18" ht="25.5" x14ac:dyDescent="0.2">
      <c r="B51" s="71" t="s">
        <v>33</v>
      </c>
      <c r="C51" s="21"/>
      <c r="D51" s="22" t="s">
        <v>21</v>
      </c>
      <c r="E51" s="23"/>
      <c r="F51" s="72">
        <f>'Proposed Rates'!D186</f>
        <v>3.5999999999999999E-3</v>
      </c>
      <c r="G51" s="64">
        <f>G49</f>
        <v>103.35000000000001</v>
      </c>
      <c r="H51" s="73">
        <f t="shared" ref="H51:H57" si="14">G51*F51</f>
        <v>0.37206</v>
      </c>
      <c r="I51" s="27"/>
      <c r="J51" s="72">
        <f>F51</f>
        <v>3.5999999999999999E-3</v>
      </c>
      <c r="K51" s="65">
        <f>K49</f>
        <v>103.35000000000001</v>
      </c>
      <c r="L51" s="73">
        <f t="shared" ref="L51:L57" si="15">K51*J51</f>
        <v>0.37206</v>
      </c>
      <c r="M51" s="27"/>
      <c r="N51" s="30">
        <f t="shared" si="13"/>
        <v>0</v>
      </c>
      <c r="O51" s="74">
        <f t="shared" si="9"/>
        <v>0</v>
      </c>
      <c r="Q51" s="207"/>
      <c r="R51" s="207"/>
    </row>
    <row r="52" spans="2:18" ht="25.5" x14ac:dyDescent="0.2">
      <c r="B52" s="71" t="s">
        <v>34</v>
      </c>
      <c r="C52" s="21"/>
      <c r="D52" s="22" t="s">
        <v>21</v>
      </c>
      <c r="E52" s="23"/>
      <c r="F52" s="72">
        <f>'Proposed Rates'!D191</f>
        <v>1.2999999999999999E-3</v>
      </c>
      <c r="G52" s="64">
        <f>G49</f>
        <v>103.35000000000001</v>
      </c>
      <c r="H52" s="73">
        <f t="shared" si="14"/>
        <v>0.134355</v>
      </c>
      <c r="I52" s="27"/>
      <c r="J52" s="72">
        <f>F52</f>
        <v>1.2999999999999999E-3</v>
      </c>
      <c r="K52" s="65">
        <f>K49</f>
        <v>103.35000000000001</v>
      </c>
      <c r="L52" s="73">
        <f t="shared" si="15"/>
        <v>0.134355</v>
      </c>
      <c r="M52" s="27"/>
      <c r="N52" s="30">
        <f t="shared" si="13"/>
        <v>0</v>
      </c>
      <c r="O52" s="74">
        <f t="shared" si="9"/>
        <v>0</v>
      </c>
      <c r="Q52" s="207"/>
      <c r="R52" s="207"/>
    </row>
    <row r="53" spans="2:18" x14ac:dyDescent="0.2">
      <c r="B53" s="21" t="s">
        <v>35</v>
      </c>
      <c r="C53" s="21"/>
      <c r="D53" s="22" t="s">
        <v>18</v>
      </c>
      <c r="E53" s="23"/>
      <c r="F53" s="72">
        <f>'Proposed Rates'!D196</f>
        <v>0.25</v>
      </c>
      <c r="G53" s="25">
        <v>1</v>
      </c>
      <c r="H53" s="73">
        <f t="shared" si="14"/>
        <v>0.25</v>
      </c>
      <c r="I53" s="27"/>
      <c r="J53" s="72">
        <f>'Proposed Rates'!E196</f>
        <v>0.25</v>
      </c>
      <c r="K53" s="29">
        <v>1</v>
      </c>
      <c r="L53" s="73">
        <f t="shared" si="15"/>
        <v>0.25</v>
      </c>
      <c r="M53" s="27"/>
      <c r="N53" s="30">
        <f t="shared" si="13"/>
        <v>0</v>
      </c>
      <c r="O53" s="74">
        <f t="shared" si="9"/>
        <v>0</v>
      </c>
      <c r="Q53" s="207"/>
      <c r="R53" s="207"/>
    </row>
    <row r="54" spans="2:18" x14ac:dyDescent="0.2">
      <c r="B54" s="21" t="s">
        <v>122</v>
      </c>
      <c r="C54" s="21"/>
      <c r="D54" s="22"/>
      <c r="E54" s="23"/>
      <c r="F54" s="72">
        <f>'Proposed Rates'!D221</f>
        <v>1.1000000000000001E-3</v>
      </c>
      <c r="G54" s="64">
        <f>F18*(1+F70)</f>
        <v>103.35000000000001</v>
      </c>
      <c r="H54" s="73">
        <f>G54*F54</f>
        <v>0.11368500000000002</v>
      </c>
      <c r="I54" s="27"/>
      <c r="J54" s="72">
        <f>F54</f>
        <v>1.1000000000000001E-3</v>
      </c>
      <c r="K54" s="65">
        <f>F18*(1+J70)</f>
        <v>103.35000000000001</v>
      </c>
      <c r="L54" s="73">
        <f>K54*J54</f>
        <v>0.11368500000000002</v>
      </c>
      <c r="M54" s="27"/>
      <c r="N54" s="30"/>
      <c r="O54" s="74"/>
      <c r="Q54" s="207"/>
      <c r="R54" s="207"/>
    </row>
    <row r="55" spans="2:18" x14ac:dyDescent="0.2">
      <c r="B55" s="49" t="s">
        <v>37</v>
      </c>
      <c r="C55" s="21"/>
      <c r="D55" s="22"/>
      <c r="E55" s="23"/>
      <c r="F55" s="72">
        <f>'Proposed Rates'!D226</f>
        <v>8.6999999999999994E-2</v>
      </c>
      <c r="G55" s="77">
        <f>0.65*$F$18</f>
        <v>65</v>
      </c>
      <c r="H55" s="73">
        <f t="shared" si="14"/>
        <v>5.6549999999999994</v>
      </c>
      <c r="I55" s="27"/>
      <c r="J55" s="72">
        <f t="shared" ref="J55:J59" si="16">F55</f>
        <v>8.6999999999999994E-2</v>
      </c>
      <c r="K55" s="77">
        <f>$G$55</f>
        <v>65</v>
      </c>
      <c r="L55" s="73">
        <f t="shared" si="15"/>
        <v>5.6549999999999994</v>
      </c>
      <c r="M55" s="27"/>
      <c r="N55" s="30">
        <f t="shared" si="13"/>
        <v>0</v>
      </c>
      <c r="O55" s="74">
        <f t="shared" si="9"/>
        <v>0</v>
      </c>
      <c r="Q55" s="207"/>
      <c r="R55" s="207"/>
    </row>
    <row r="56" spans="2:18" x14ac:dyDescent="0.2">
      <c r="B56" s="49" t="s">
        <v>38</v>
      </c>
      <c r="C56" s="21"/>
      <c r="D56" s="22"/>
      <c r="E56" s="23"/>
      <c r="F56" s="72">
        <f>'Proposed Rates'!D227</f>
        <v>0.13200000000000001</v>
      </c>
      <c r="G56" s="77">
        <f>0.17*$F$18</f>
        <v>17</v>
      </c>
      <c r="H56" s="73">
        <f t="shared" si="14"/>
        <v>2.2440000000000002</v>
      </c>
      <c r="I56" s="27"/>
      <c r="J56" s="72">
        <f t="shared" si="16"/>
        <v>0.13200000000000001</v>
      </c>
      <c r="K56" s="77">
        <f>$G$56</f>
        <v>17</v>
      </c>
      <c r="L56" s="73">
        <f t="shared" si="15"/>
        <v>2.2440000000000002</v>
      </c>
      <c r="M56" s="27"/>
      <c r="N56" s="30">
        <f t="shared" si="13"/>
        <v>0</v>
      </c>
      <c r="O56" s="74">
        <f t="shared" si="9"/>
        <v>0</v>
      </c>
      <c r="Q56" s="207"/>
      <c r="R56" s="207"/>
    </row>
    <row r="57" spans="2:18" x14ac:dyDescent="0.2">
      <c r="B57" s="11" t="s">
        <v>39</v>
      </c>
      <c r="C57" s="21"/>
      <c r="D57" s="22"/>
      <c r="E57" s="23"/>
      <c r="F57" s="72">
        <f>'Proposed Rates'!D228</f>
        <v>0.18</v>
      </c>
      <c r="G57" s="77">
        <f>0.18*$F$18</f>
        <v>18</v>
      </c>
      <c r="H57" s="73">
        <f t="shared" si="14"/>
        <v>3.2399999999999998</v>
      </c>
      <c r="I57" s="27"/>
      <c r="J57" s="72">
        <f t="shared" si="16"/>
        <v>0.18</v>
      </c>
      <c r="K57" s="77">
        <f>$G$57</f>
        <v>18</v>
      </c>
      <c r="L57" s="73">
        <f t="shared" si="15"/>
        <v>3.2399999999999998</v>
      </c>
      <c r="M57" s="27"/>
      <c r="N57" s="30">
        <f t="shared" si="13"/>
        <v>0</v>
      </c>
      <c r="O57" s="74">
        <f t="shared" si="9"/>
        <v>0</v>
      </c>
      <c r="Q57" s="207"/>
      <c r="R57" s="207"/>
    </row>
    <row r="58" spans="2:18" s="85" customFormat="1" x14ac:dyDescent="0.2">
      <c r="B58" s="78" t="s">
        <v>40</v>
      </c>
      <c r="C58" s="79"/>
      <c r="D58" s="80"/>
      <c r="E58" s="81"/>
      <c r="F58" s="72">
        <f>'Proposed Rates'!D229</f>
        <v>0.10299999999999999</v>
      </c>
      <c r="G58" s="82">
        <f>IF(AND($Q$1=1, F18&gt;=600), 600, IF(AND($Q$1=1, AND(F18&lt;600, F18&gt;=0)), F18, IF(AND($Q$1=2, F18&gt;=1000), 1000, IF(AND($Q$1=2, AND(F18&lt;1000, F18&gt;=0)), F18))))</f>
        <v>100</v>
      </c>
      <c r="H58" s="73">
        <f>G58*F58</f>
        <v>10.299999999999999</v>
      </c>
      <c r="I58" s="83"/>
      <c r="J58" s="72">
        <f t="shared" si="16"/>
        <v>0.10299999999999999</v>
      </c>
      <c r="K58" s="82">
        <f>$G$58</f>
        <v>100</v>
      </c>
      <c r="L58" s="73">
        <f>K58*J58</f>
        <v>10.299999999999999</v>
      </c>
      <c r="M58" s="83"/>
      <c r="N58" s="84">
        <f t="shared" si="13"/>
        <v>0</v>
      </c>
      <c r="O58" s="74">
        <f t="shared" si="9"/>
        <v>0</v>
      </c>
      <c r="Q58" s="209"/>
      <c r="R58" s="209"/>
    </row>
    <row r="59" spans="2:18" s="85" customFormat="1" ht="13.5" thickBot="1" x14ac:dyDescent="0.25">
      <c r="B59" s="78" t="s">
        <v>41</v>
      </c>
      <c r="C59" s="79"/>
      <c r="D59" s="80"/>
      <c r="E59" s="81"/>
      <c r="F59" s="72">
        <f>'Proposed Rates'!D230</f>
        <v>0.121</v>
      </c>
      <c r="G59" s="82">
        <f>IF(AND($Q$1=1, F18&gt;=600), F18-600, IF(AND($Q$1=1, AND(F18&lt;600, F18&gt;=0)), 0, IF(AND($Q$1=2, F18&gt;=1000), F18-1000, IF(AND($Q$1=2, AND(F18&lt;1000, F18&gt;=0)), 0))))</f>
        <v>0</v>
      </c>
      <c r="H59" s="73">
        <f>G59*F59</f>
        <v>0</v>
      </c>
      <c r="I59" s="83"/>
      <c r="J59" s="72">
        <f t="shared" si="16"/>
        <v>0.121</v>
      </c>
      <c r="K59" s="82">
        <f>$G$59</f>
        <v>0</v>
      </c>
      <c r="L59" s="73">
        <f>K59*J59</f>
        <v>0</v>
      </c>
      <c r="M59" s="83"/>
      <c r="N59" s="84">
        <f t="shared" si="13"/>
        <v>0</v>
      </c>
      <c r="O59" s="74" t="str">
        <f t="shared" si="9"/>
        <v/>
      </c>
      <c r="Q59" s="209"/>
      <c r="R59" s="209"/>
    </row>
    <row r="60" spans="2:18" ht="8.25" customHeight="1" thickBot="1" x14ac:dyDescent="0.25">
      <c r="B60" s="86"/>
      <c r="C60" s="87"/>
      <c r="D60" s="88"/>
      <c r="E60" s="87"/>
      <c r="F60" s="89"/>
      <c r="G60" s="90"/>
      <c r="H60" s="91"/>
      <c r="I60" s="92"/>
      <c r="J60" s="89"/>
      <c r="K60" s="93"/>
      <c r="L60" s="91"/>
      <c r="M60" s="92"/>
      <c r="N60" s="94"/>
      <c r="O60" s="95"/>
      <c r="Q60" s="207"/>
      <c r="R60" s="207"/>
    </row>
    <row r="61" spans="2:18" x14ac:dyDescent="0.2">
      <c r="B61" s="96" t="s">
        <v>42</v>
      </c>
      <c r="C61" s="21"/>
      <c r="D61" s="21"/>
      <c r="E61" s="21"/>
      <c r="F61" s="97"/>
      <c r="G61" s="98"/>
      <c r="H61" s="99">
        <f>SUM(H51:H57,H50)</f>
        <v>29.425196000000003</v>
      </c>
      <c r="I61" s="100"/>
      <c r="J61" s="101"/>
      <c r="K61" s="101"/>
      <c r="L61" s="99">
        <f>SUM(L51:L57,L50)</f>
        <v>32.347026000000007</v>
      </c>
      <c r="M61" s="102"/>
      <c r="N61" s="103">
        <f t="shared" ref="N61" si="17">L61-H61</f>
        <v>2.9218300000000035</v>
      </c>
      <c r="O61" s="104">
        <f t="shared" ref="O61" si="18">IF((H61)=0,"",(N61/H61))</f>
        <v>9.9296874692015757E-2</v>
      </c>
      <c r="Q61" s="206"/>
      <c r="R61" s="206"/>
    </row>
    <row r="62" spans="2:18" x14ac:dyDescent="0.2">
      <c r="B62" s="105" t="s">
        <v>43</v>
      </c>
      <c r="C62" s="21"/>
      <c r="D62" s="21"/>
      <c r="E62" s="21"/>
      <c r="F62" s="106">
        <v>0.13</v>
      </c>
      <c r="G62" s="107"/>
      <c r="H62" s="108">
        <f>H61*F62</f>
        <v>3.8252754800000006</v>
      </c>
      <c r="I62" s="109"/>
      <c r="J62" s="110">
        <v>0.13</v>
      </c>
      <c r="K62" s="109"/>
      <c r="L62" s="111">
        <f>L61*J62</f>
        <v>4.2051133800000011</v>
      </c>
      <c r="M62" s="112"/>
      <c r="N62" s="113">
        <f t="shared" si="13"/>
        <v>0.37983790000000051</v>
      </c>
      <c r="O62" s="114">
        <f t="shared" si="9"/>
        <v>9.9296874692015757E-2</v>
      </c>
      <c r="Q62" s="207"/>
      <c r="R62" s="207"/>
    </row>
    <row r="63" spans="2:18" ht="13.5" thickBot="1" x14ac:dyDescent="0.25">
      <c r="B63" s="115" t="s">
        <v>44</v>
      </c>
      <c r="C63" s="21"/>
      <c r="D63" s="21"/>
      <c r="E63" s="21"/>
      <c r="F63" s="116"/>
      <c r="G63" s="107"/>
      <c r="H63" s="99">
        <f>H61+H62</f>
        <v>33.250471480000002</v>
      </c>
      <c r="I63" s="109"/>
      <c r="J63" s="109"/>
      <c r="K63" s="109"/>
      <c r="L63" s="220">
        <f>L61+L62</f>
        <v>36.552139380000007</v>
      </c>
      <c r="M63" s="112"/>
      <c r="N63" s="103">
        <f t="shared" si="13"/>
        <v>3.3016679000000053</v>
      </c>
      <c r="O63" s="104">
        <f t="shared" si="9"/>
        <v>9.9296874692015799E-2</v>
      </c>
      <c r="Q63" s="207"/>
      <c r="R63" s="207"/>
    </row>
    <row r="64" spans="2:18" s="85" customFormat="1" ht="8.25" customHeight="1" thickBot="1" x14ac:dyDescent="0.25">
      <c r="B64" s="117"/>
      <c r="C64" s="118"/>
      <c r="D64" s="119"/>
      <c r="E64" s="118"/>
      <c r="F64" s="89"/>
      <c r="G64" s="120"/>
      <c r="H64" s="91"/>
      <c r="I64" s="121"/>
      <c r="J64" s="89"/>
      <c r="K64" s="122"/>
      <c r="L64" s="91"/>
      <c r="M64" s="121"/>
      <c r="N64" s="123"/>
      <c r="O64" s="95"/>
      <c r="Q64" s="209"/>
      <c r="R64" s="209"/>
    </row>
    <row r="65" spans="1:18" s="85" customFormat="1" x14ac:dyDescent="0.2">
      <c r="B65" s="124" t="s">
        <v>45</v>
      </c>
      <c r="C65" s="79"/>
      <c r="D65" s="79"/>
      <c r="E65" s="79"/>
      <c r="F65" s="125"/>
      <c r="G65" s="126"/>
      <c r="H65" s="127">
        <f>SUM(H58:H59,H50,H51:H53)</f>
        <v>28.472511000000001</v>
      </c>
      <c r="I65" s="128"/>
      <c r="J65" s="129"/>
      <c r="K65" s="129"/>
      <c r="L65" s="127">
        <f>SUM(L58:L59,L50,L51:L53)</f>
        <v>31.394341000000008</v>
      </c>
      <c r="M65" s="130"/>
      <c r="N65" s="131">
        <f t="shared" ref="N65:N67" si="19">L65-H65</f>
        <v>2.921830000000007</v>
      </c>
      <c r="O65" s="104">
        <f t="shared" ref="O65:O67" si="20">IF((H65)=0,"",(N65/H65))</f>
        <v>0.10261932992141111</v>
      </c>
      <c r="Q65" s="208"/>
      <c r="R65" s="208"/>
    </row>
    <row r="66" spans="1:18" s="85" customFormat="1" x14ac:dyDescent="0.2">
      <c r="B66" s="132" t="s">
        <v>43</v>
      </c>
      <c r="C66" s="79"/>
      <c r="D66" s="79"/>
      <c r="E66" s="79"/>
      <c r="F66" s="133">
        <v>0.13</v>
      </c>
      <c r="G66" s="126"/>
      <c r="H66" s="134">
        <f>H65*F66</f>
        <v>3.7014264300000002</v>
      </c>
      <c r="I66" s="135"/>
      <c r="J66" s="136">
        <v>0.13</v>
      </c>
      <c r="K66" s="137"/>
      <c r="L66" s="138">
        <f>L65*J66</f>
        <v>4.0812643300000016</v>
      </c>
      <c r="M66" s="139"/>
      <c r="N66" s="140">
        <f t="shared" si="19"/>
        <v>0.37983790000000139</v>
      </c>
      <c r="O66" s="114">
        <f t="shared" si="20"/>
        <v>0.10261932992141123</v>
      </c>
      <c r="Q66" s="209"/>
      <c r="R66" s="209"/>
    </row>
    <row r="67" spans="1:18" s="85" customFormat="1" ht="13.5" thickBot="1" x14ac:dyDescent="0.25">
      <c r="B67" s="141" t="s">
        <v>44</v>
      </c>
      <c r="C67" s="79"/>
      <c r="D67" s="79"/>
      <c r="E67" s="79"/>
      <c r="F67" s="142"/>
      <c r="G67" s="143"/>
      <c r="H67" s="127">
        <f>H65+H66</f>
        <v>32.173937430000002</v>
      </c>
      <c r="I67" s="135"/>
      <c r="J67" s="135"/>
      <c r="K67" s="135"/>
      <c r="L67" s="219">
        <f>L65+L66</f>
        <v>35.475605330000008</v>
      </c>
      <c r="M67" s="139"/>
      <c r="N67" s="131">
        <f t="shared" si="19"/>
        <v>3.3016679000000053</v>
      </c>
      <c r="O67" s="104">
        <f t="shared" si="20"/>
        <v>0.10261932992141103</v>
      </c>
      <c r="Q67" s="209"/>
      <c r="R67" s="209"/>
    </row>
    <row r="68" spans="1:18" s="85" customFormat="1" ht="8.25" customHeight="1" thickBot="1" x14ac:dyDescent="0.25">
      <c r="B68" s="117"/>
      <c r="C68" s="118"/>
      <c r="D68" s="119"/>
      <c r="E68" s="118"/>
      <c r="F68" s="144"/>
      <c r="G68" s="145"/>
      <c r="H68" s="146"/>
      <c r="I68" s="147"/>
      <c r="J68" s="144"/>
      <c r="K68" s="120"/>
      <c r="L68" s="148"/>
      <c r="M68" s="121"/>
      <c r="N68" s="149"/>
      <c r="O68" s="95"/>
      <c r="Q68" s="209"/>
      <c r="R68" s="209"/>
    </row>
    <row r="69" spans="1:18" x14ac:dyDescent="0.2">
      <c r="L69" s="150"/>
    </row>
    <row r="70" spans="1:18" x14ac:dyDescent="0.2">
      <c r="B70" s="12" t="s">
        <v>46</v>
      </c>
      <c r="F70" s="151">
        <f>'Proposed Rates'!D201</f>
        <v>3.3500000000000002E-2</v>
      </c>
      <c r="J70" s="151">
        <f>'Proposed Rates'!E201</f>
        <v>3.3500000000000002E-2</v>
      </c>
    </row>
    <row r="72" spans="1:18" ht="13.5" customHeight="1" x14ac:dyDescent="0.2"/>
    <row r="73" spans="1:18" ht="12" customHeight="1" x14ac:dyDescent="0.2">
      <c r="A73" s="6" t="s">
        <v>47</v>
      </c>
    </row>
    <row r="74" spans="1:18" x14ac:dyDescent="0.2">
      <c r="A74" s="6" t="s">
        <v>48</v>
      </c>
    </row>
    <row r="76" spans="1:18" x14ac:dyDescent="0.2">
      <c r="A76" s="153" t="s">
        <v>136</v>
      </c>
    </row>
    <row r="77" spans="1:18" x14ac:dyDescent="0.2">
      <c r="A77" s="11" t="s">
        <v>49</v>
      </c>
    </row>
    <row r="79" spans="1:18" x14ac:dyDescent="0.2">
      <c r="A79" s="6" t="s">
        <v>135</v>
      </c>
    </row>
    <row r="80" spans="1:18" x14ac:dyDescent="0.2">
      <c r="A80" s="6" t="s">
        <v>50</v>
      </c>
    </row>
    <row r="81" spans="1:2" x14ac:dyDescent="0.2">
      <c r="A81" s="6" t="s">
        <v>51</v>
      </c>
    </row>
    <row r="82" spans="1:2" x14ac:dyDescent="0.2">
      <c r="A82" s="6" t="s">
        <v>52</v>
      </c>
    </row>
    <row r="83" spans="1:2" x14ac:dyDescent="0.2">
      <c r="A83" s="6" t="s">
        <v>53</v>
      </c>
    </row>
    <row r="85" spans="1:2" x14ac:dyDescent="0.2">
      <c r="A85" s="152"/>
      <c r="B85" s="6" t="s">
        <v>54</v>
      </c>
    </row>
    <row r="87" spans="1:2" x14ac:dyDescent="0.2">
      <c r="B87" s="153" t="s">
        <v>55</v>
      </c>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E48:E49 E68 E64 E23:E38 E40:E46 E51:E60">
      <formula1>#REF!</formula1>
    </dataValidation>
    <dataValidation type="list" allowBlank="1" showInputMessage="1" showErrorMessage="1" prompt="Select Charge Unit - monthly, per kWh, per kW" sqref="D68 D64 D23:D38 D40:D46 D48:D49 D51:D60">
      <formula1>"Monthly, per kWh, per kW"</formula1>
    </dataValidation>
    <dataValidation type="list" allowBlank="1" showInputMessage="1" showErrorMessage="1" sqref="D16">
      <formula1>"TOU, non-TOU"</formula1>
    </dataValidation>
  </dataValidations>
  <pageMargins left="0.70866141732283472" right="0.70866141732283472" top="0.74803149606299213" bottom="0.74803149606299213" header="0.31496062992125984" footer="0.31496062992125984"/>
  <pageSetup scale="65"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1</xdr:col>
                    <xdr:colOff>1676400</xdr:colOff>
                    <xdr:row>7</xdr:row>
                    <xdr:rowOff>19050</xdr:rowOff>
                  </from>
                  <to>
                    <xdr:col>3</xdr:col>
                    <xdr:colOff>552450</xdr:colOff>
                    <xdr:row>7</xdr:row>
                    <xdr:rowOff>114300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3</xdr:col>
                    <xdr:colOff>438150</xdr:colOff>
                    <xdr:row>6</xdr:row>
                    <xdr:rowOff>152400</xdr:rowOff>
                  </from>
                  <to>
                    <xdr:col>6</xdr:col>
                    <xdr:colOff>514350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W91"/>
  <sheetViews>
    <sheetView showGridLines="0" view="pageBreakPreview" zoomScale="70" zoomScaleNormal="85" zoomScaleSheetLayoutView="70" workbookViewId="0">
      <selection activeCell="L10" sqref="L10"/>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8.5703125" style="6" customWidth="1"/>
    <col min="8" max="8" width="11.28515625" style="6" bestFit="1" customWidth="1"/>
    <col min="9" max="9" width="2.85546875" style="6" customWidth="1"/>
    <col min="10" max="10" width="12.140625" style="6" customWidth="1"/>
    <col min="11" max="11" width="10.42578125" style="6" customWidth="1"/>
    <col min="12" max="12" width="11.5703125" style="6" bestFit="1" customWidth="1"/>
    <col min="13" max="13" width="2.85546875" style="6" customWidth="1"/>
    <col min="14" max="14" width="12.7109375" style="6" bestFit="1" customWidth="1"/>
    <col min="15" max="15" width="10.85546875" style="6" bestFit="1" customWidth="1"/>
    <col min="16" max="16" width="3.85546875" style="6" customWidth="1"/>
    <col min="17" max="17" width="2.85546875" style="211" customWidth="1"/>
    <col min="18" max="18" width="4.5703125" style="211" customWidth="1"/>
    <col min="19" max="19" width="2.85546875" style="211" customWidth="1"/>
    <col min="20" max="20" width="4.5703125" style="211" customWidth="1"/>
    <col min="21" max="21" width="2.85546875" style="211" customWidth="1"/>
    <col min="22" max="22" width="4.5703125" style="211" customWidth="1"/>
    <col min="23" max="23" width="2.85546875" style="21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2</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232</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+'Res (100)'!F23</f>
        <v>12.96</v>
      </c>
      <c r="G23" s="25">
        <v>1</v>
      </c>
      <c r="H23" s="26">
        <f>G23*F23</f>
        <v>12.96</v>
      </c>
      <c r="I23" s="27"/>
      <c r="J23" s="28">
        <f>+'Res (100)'!J23</f>
        <v>16.600000000000001</v>
      </c>
      <c r="K23" s="29">
        <v>1</v>
      </c>
      <c r="L23" s="26">
        <f>K23*J23</f>
        <v>16.600000000000001</v>
      </c>
      <c r="M23" s="27"/>
      <c r="N23" s="30">
        <f>L23-H23</f>
        <v>3.6400000000000006</v>
      </c>
      <c r="O23" s="31">
        <f>IF((H23)=0,"",(N23/H23))</f>
        <v>0.28086419753086422</v>
      </c>
      <c r="Q23" s="107"/>
      <c r="S23" s="107"/>
      <c r="U23" s="107"/>
      <c r="W23" s="107"/>
    </row>
    <row r="24" spans="2:23" x14ac:dyDescent="0.2">
      <c r="B24" s="21" t="s">
        <v>19</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+'Res (100)'!F29</f>
        <v>1.9300000000000001E-2</v>
      </c>
      <c r="G29" s="25">
        <f>$F$18</f>
        <v>232</v>
      </c>
      <c r="H29" s="26">
        <f t="shared" si="0"/>
        <v>4.4776000000000007</v>
      </c>
      <c r="I29" s="27"/>
      <c r="J29" s="28">
        <f>+'Res (100)'!J29</f>
        <v>1.5100000000000001E-2</v>
      </c>
      <c r="K29" s="25">
        <f>$F$18</f>
        <v>232</v>
      </c>
      <c r="L29" s="26">
        <f t="shared" si="1"/>
        <v>3.5032000000000001</v>
      </c>
      <c r="M29" s="27"/>
      <c r="N29" s="30">
        <f t="shared" si="2"/>
        <v>-0.9744000000000006</v>
      </c>
      <c r="O29" s="31">
        <f t="shared" si="3"/>
        <v>-0.21761658031088094</v>
      </c>
      <c r="Q29" s="107"/>
      <c r="S29" s="107"/>
      <c r="U29" s="107"/>
      <c r="W29" s="107"/>
    </row>
    <row r="30" spans="2:23" x14ac:dyDescent="0.2">
      <c r="B30" s="21" t="s">
        <v>22</v>
      </c>
      <c r="C30" s="21"/>
      <c r="D30" s="22"/>
      <c r="E30" s="23"/>
      <c r="F30" s="24"/>
      <c r="G30" s="25">
        <f t="shared" ref="G30" si="4">$F$18</f>
        <v>232</v>
      </c>
      <c r="H30" s="26">
        <f t="shared" si="0"/>
        <v>0</v>
      </c>
      <c r="I30" s="27"/>
      <c r="J30" s="28"/>
      <c r="K30" s="25">
        <f t="shared" ref="K30:K38" si="5">$F$18</f>
        <v>232</v>
      </c>
      <c r="L30" s="26">
        <f t="shared" si="1"/>
        <v>0</v>
      </c>
      <c r="M30" s="27"/>
      <c r="N30" s="30">
        <f t="shared" si="2"/>
        <v>0</v>
      </c>
      <c r="O30" s="31" t="str">
        <f t="shared" si="3"/>
        <v/>
      </c>
      <c r="Q30" s="107"/>
      <c r="S30" s="107"/>
      <c r="U30" s="107"/>
      <c r="W30" s="107"/>
    </row>
    <row r="31" spans="2:23" x14ac:dyDescent="0.2">
      <c r="B31" s="21" t="s">
        <v>23</v>
      </c>
      <c r="C31" s="21"/>
      <c r="D31" s="22" t="s">
        <v>21</v>
      </c>
      <c r="E31" s="23"/>
      <c r="F31" s="50">
        <f>+'Res (100)'!F31</f>
        <v>-2.0000000000000002E-5</v>
      </c>
      <c r="G31" s="25">
        <f>$F$18</f>
        <v>232</v>
      </c>
      <c r="H31" s="26">
        <f>G31*F31</f>
        <v>-4.64E-3</v>
      </c>
      <c r="I31" s="27"/>
      <c r="J31" s="52">
        <f>+'Res (100)'!J31</f>
        <v>0</v>
      </c>
      <c r="K31" s="25">
        <f t="shared" si="5"/>
        <v>232</v>
      </c>
      <c r="L31" s="26">
        <f t="shared" si="1"/>
        <v>0</v>
      </c>
      <c r="M31" s="27"/>
      <c r="N31" s="30">
        <f t="shared" si="2"/>
        <v>4.64E-3</v>
      </c>
      <c r="O31" s="31">
        <f t="shared" si="3"/>
        <v>-1</v>
      </c>
      <c r="Q31" s="107"/>
      <c r="S31" s="107"/>
      <c r="U31" s="107"/>
      <c r="W31" s="107"/>
    </row>
    <row r="32" spans="2:23" x14ac:dyDescent="0.2">
      <c r="B32" s="33"/>
      <c r="C32" s="21"/>
      <c r="D32" s="22"/>
      <c r="E32" s="23"/>
      <c r="F32" s="24"/>
      <c r="G32" s="25">
        <f t="shared" ref="G32:G38" si="6">$F$18</f>
        <v>232</v>
      </c>
      <c r="H32" s="26">
        <f t="shared" si="0"/>
        <v>0</v>
      </c>
      <c r="I32" s="27"/>
      <c r="J32" s="28"/>
      <c r="K32" s="25">
        <f t="shared" si="5"/>
        <v>232</v>
      </c>
      <c r="L32" s="26">
        <f t="shared" si="1"/>
        <v>0</v>
      </c>
      <c r="M32" s="27"/>
      <c r="N32" s="30">
        <f t="shared" si="2"/>
        <v>0</v>
      </c>
      <c r="O32" s="31" t="str">
        <f t="shared" si="3"/>
        <v/>
      </c>
      <c r="Q32" s="107"/>
      <c r="S32" s="107"/>
      <c r="U32" s="107"/>
      <c r="W32" s="107"/>
    </row>
    <row r="33" spans="2:23" x14ac:dyDescent="0.2">
      <c r="B33" s="33"/>
      <c r="C33" s="21"/>
      <c r="D33" s="22"/>
      <c r="E33" s="23"/>
      <c r="F33" s="24"/>
      <c r="G33" s="25">
        <f t="shared" si="6"/>
        <v>232</v>
      </c>
      <c r="H33" s="26">
        <f t="shared" si="0"/>
        <v>0</v>
      </c>
      <c r="I33" s="27"/>
      <c r="J33" s="28"/>
      <c r="K33" s="25">
        <f t="shared" si="5"/>
        <v>232</v>
      </c>
      <c r="L33" s="26">
        <f t="shared" si="1"/>
        <v>0</v>
      </c>
      <c r="M33" s="27"/>
      <c r="N33" s="30">
        <f t="shared" si="2"/>
        <v>0</v>
      </c>
      <c r="O33" s="31" t="str">
        <f t="shared" si="3"/>
        <v/>
      </c>
      <c r="Q33" s="107"/>
      <c r="S33" s="107"/>
      <c r="U33" s="107"/>
      <c r="W33" s="107"/>
    </row>
    <row r="34" spans="2:23" x14ac:dyDescent="0.2">
      <c r="B34" s="33"/>
      <c r="C34" s="21"/>
      <c r="D34" s="22"/>
      <c r="E34" s="23"/>
      <c r="F34" s="24"/>
      <c r="G34" s="25">
        <f t="shared" si="6"/>
        <v>232</v>
      </c>
      <c r="H34" s="26">
        <f t="shared" si="0"/>
        <v>0</v>
      </c>
      <c r="I34" s="27"/>
      <c r="J34" s="28"/>
      <c r="K34" s="25">
        <f t="shared" si="5"/>
        <v>232</v>
      </c>
      <c r="L34" s="26">
        <f t="shared" si="1"/>
        <v>0</v>
      </c>
      <c r="M34" s="27"/>
      <c r="N34" s="30">
        <f t="shared" si="2"/>
        <v>0</v>
      </c>
      <c r="O34" s="31" t="str">
        <f t="shared" si="3"/>
        <v/>
      </c>
      <c r="Q34" s="107"/>
      <c r="S34" s="107"/>
      <c r="U34" s="107"/>
      <c r="W34" s="107"/>
    </row>
    <row r="35" spans="2:23" x14ac:dyDescent="0.2">
      <c r="B35" s="33"/>
      <c r="C35" s="21"/>
      <c r="D35" s="22"/>
      <c r="E35" s="23"/>
      <c r="F35" s="24"/>
      <c r="G35" s="25">
        <f t="shared" si="6"/>
        <v>232</v>
      </c>
      <c r="H35" s="26">
        <f t="shared" si="0"/>
        <v>0</v>
      </c>
      <c r="I35" s="27"/>
      <c r="J35" s="28"/>
      <c r="K35" s="25">
        <f t="shared" si="5"/>
        <v>232</v>
      </c>
      <c r="L35" s="26">
        <f t="shared" si="1"/>
        <v>0</v>
      </c>
      <c r="M35" s="27"/>
      <c r="N35" s="30">
        <f t="shared" si="2"/>
        <v>0</v>
      </c>
      <c r="O35" s="31" t="str">
        <f t="shared" si="3"/>
        <v/>
      </c>
      <c r="Q35" s="107"/>
      <c r="S35" s="107"/>
      <c r="U35" s="107"/>
      <c r="W35" s="107"/>
    </row>
    <row r="36" spans="2:23" x14ac:dyDescent="0.2">
      <c r="B36" s="33"/>
      <c r="C36" s="21"/>
      <c r="D36" s="22"/>
      <c r="E36" s="23"/>
      <c r="F36" s="24"/>
      <c r="G36" s="25">
        <f t="shared" si="6"/>
        <v>232</v>
      </c>
      <c r="H36" s="26">
        <f t="shared" si="0"/>
        <v>0</v>
      </c>
      <c r="I36" s="27"/>
      <c r="J36" s="28"/>
      <c r="K36" s="25">
        <f t="shared" si="5"/>
        <v>232</v>
      </c>
      <c r="L36" s="26">
        <f t="shared" si="1"/>
        <v>0</v>
      </c>
      <c r="M36" s="27"/>
      <c r="N36" s="30">
        <f t="shared" si="2"/>
        <v>0</v>
      </c>
      <c r="O36" s="31" t="str">
        <f t="shared" si="3"/>
        <v/>
      </c>
      <c r="Q36" s="107"/>
      <c r="S36" s="107"/>
      <c r="U36" s="107"/>
      <c r="W36" s="107"/>
    </row>
    <row r="37" spans="2:23" x14ac:dyDescent="0.2">
      <c r="B37" s="33"/>
      <c r="C37" s="21"/>
      <c r="D37" s="22"/>
      <c r="E37" s="23"/>
      <c r="F37" s="24"/>
      <c r="G37" s="25">
        <f t="shared" si="6"/>
        <v>232</v>
      </c>
      <c r="H37" s="26">
        <f t="shared" si="0"/>
        <v>0</v>
      </c>
      <c r="I37" s="27"/>
      <c r="J37" s="28"/>
      <c r="K37" s="25">
        <f t="shared" si="5"/>
        <v>232</v>
      </c>
      <c r="L37" s="26">
        <f t="shared" si="1"/>
        <v>0</v>
      </c>
      <c r="M37" s="27"/>
      <c r="N37" s="30">
        <f t="shared" si="2"/>
        <v>0</v>
      </c>
      <c r="O37" s="31" t="str">
        <f t="shared" si="3"/>
        <v/>
      </c>
      <c r="Q37" s="107"/>
      <c r="S37" s="107"/>
      <c r="U37" s="107"/>
      <c r="W37" s="107"/>
    </row>
    <row r="38" spans="2:23" x14ac:dyDescent="0.2">
      <c r="B38" s="33"/>
      <c r="C38" s="21"/>
      <c r="D38" s="22"/>
      <c r="E38" s="23"/>
      <c r="F38" s="24"/>
      <c r="G38" s="25">
        <f t="shared" si="6"/>
        <v>232</v>
      </c>
      <c r="H38" s="26">
        <f t="shared" si="0"/>
        <v>0</v>
      </c>
      <c r="I38" s="27"/>
      <c r="J38" s="28"/>
      <c r="K38" s="25">
        <f t="shared" si="5"/>
        <v>232</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17.432960000000005</v>
      </c>
      <c r="I39" s="40"/>
      <c r="J39" s="41"/>
      <c r="K39" s="42"/>
      <c r="L39" s="39">
        <f>SUM(L23:L38)</f>
        <v>20.103200000000001</v>
      </c>
      <c r="M39" s="40"/>
      <c r="N39" s="43">
        <f t="shared" si="2"/>
        <v>2.6702399999999962</v>
      </c>
      <c r="O39" s="44">
        <f t="shared" si="3"/>
        <v>0.15317192261096196</v>
      </c>
      <c r="Q39" s="107"/>
      <c r="R39" s="211"/>
      <c r="S39" s="107"/>
      <c r="T39" s="211"/>
      <c r="U39" s="107"/>
      <c r="V39" s="211"/>
      <c r="W39" s="107"/>
    </row>
    <row r="40" spans="2:23" ht="38.25" x14ac:dyDescent="0.2">
      <c r="B40" s="46" t="str">
        <f>+'Res (100)'!B40</f>
        <v>Deferral/Variance Account Disposition Rate Rider Group 1</v>
      </c>
      <c r="C40" s="21"/>
      <c r="D40" s="22" t="s">
        <v>21</v>
      </c>
      <c r="E40" s="23"/>
      <c r="F40" s="24">
        <f>'Res (100)'!F40</f>
        <v>-8.2600000000000002E-4</v>
      </c>
      <c r="G40" s="25">
        <f>$F$18</f>
        <v>232</v>
      </c>
      <c r="H40" s="26">
        <f>G40*F40</f>
        <v>-0.191632</v>
      </c>
      <c r="I40" s="27"/>
      <c r="J40" s="28">
        <f>+'Res (100)'!J40</f>
        <v>-1E-4</v>
      </c>
      <c r="K40" s="25">
        <f>$F$18</f>
        <v>232</v>
      </c>
      <c r="L40" s="26">
        <f>K40*J40</f>
        <v>-2.3200000000000002E-2</v>
      </c>
      <c r="M40" s="27"/>
      <c r="N40" s="30">
        <f>L40-H40</f>
        <v>0.168432</v>
      </c>
      <c r="O40" s="31">
        <f>IF((H40)=0,"",(N40/H40))</f>
        <v>-0.87893462469733652</v>
      </c>
      <c r="Q40" s="107"/>
      <c r="S40" s="107"/>
      <c r="U40" s="107"/>
      <c r="W40" s="107"/>
    </row>
    <row r="41" spans="2:23" ht="38.25" x14ac:dyDescent="0.2">
      <c r="B41" s="154" t="s">
        <v>108</v>
      </c>
      <c r="C41" s="21"/>
      <c r="D41" s="22" t="s">
        <v>18</v>
      </c>
      <c r="E41" s="23"/>
      <c r="F41" s="24">
        <f>'Res (100)'!F41</f>
        <v>0.32</v>
      </c>
      <c r="G41" s="25">
        <v>1</v>
      </c>
      <c r="H41" s="26">
        <f t="shared" ref="H41:H45" si="7">G41*F41</f>
        <v>0.32</v>
      </c>
      <c r="I41" s="47"/>
      <c r="J41" s="28">
        <f>+'Res (100)'!J41</f>
        <v>0.02</v>
      </c>
      <c r="K41" s="25">
        <v>1</v>
      </c>
      <c r="L41" s="26">
        <f t="shared" ref="L41:L45" si="8">K41*J41</f>
        <v>0.02</v>
      </c>
      <c r="M41" s="48"/>
      <c r="N41" s="30">
        <f t="shared" ref="N41:N45" si="9">L41-H41</f>
        <v>-0.3</v>
      </c>
      <c r="O41" s="31">
        <f t="shared" ref="O41:O63" si="10">IF((H41)=0,"",(N41/H41))</f>
        <v>-0.9375</v>
      </c>
      <c r="Q41" s="107"/>
      <c r="S41" s="107"/>
      <c r="U41" s="107"/>
      <c r="W41" s="107"/>
    </row>
    <row r="42" spans="2:23" ht="38.25" x14ac:dyDescent="0.2">
      <c r="B42" s="154" t="s">
        <v>108</v>
      </c>
      <c r="C42" s="21"/>
      <c r="D42" s="22" t="s">
        <v>21</v>
      </c>
      <c r="E42" s="23"/>
      <c r="F42" s="24">
        <f>'Res (100)'!F42</f>
        <v>-1.5089999999999999E-3</v>
      </c>
      <c r="G42" s="25">
        <f t="shared" ref="G42:G43" si="11">$F$18</f>
        <v>232</v>
      </c>
      <c r="H42" s="26">
        <f t="shared" si="7"/>
        <v>-0.35008799999999995</v>
      </c>
      <c r="I42" s="47"/>
      <c r="J42" s="28">
        <f>+'Res (100)'!J42</f>
        <v>-2.3E-3</v>
      </c>
      <c r="K42" s="25">
        <f t="shared" ref="K42:K43" si="12">$F$18</f>
        <v>232</v>
      </c>
      <c r="L42" s="26">
        <f t="shared" si="8"/>
        <v>-0.53359999999999996</v>
      </c>
      <c r="M42" s="48"/>
      <c r="N42" s="30">
        <f t="shared" si="9"/>
        <v>-0.18351200000000001</v>
      </c>
      <c r="O42" s="31">
        <f t="shared" si="10"/>
        <v>0.52418820410868139</v>
      </c>
      <c r="Q42" s="107"/>
      <c r="S42" s="107"/>
      <c r="U42" s="107"/>
      <c r="W42" s="107"/>
    </row>
    <row r="43" spans="2:23" ht="38.25" x14ac:dyDescent="0.2">
      <c r="B43" s="46" t="s">
        <v>128</v>
      </c>
      <c r="C43" s="21"/>
      <c r="D43" s="22" t="s">
        <v>21</v>
      </c>
      <c r="E43" s="23"/>
      <c r="F43" s="24">
        <f>'Res (100)'!F43</f>
        <v>0</v>
      </c>
      <c r="G43" s="25">
        <f t="shared" si="11"/>
        <v>232</v>
      </c>
      <c r="H43" s="26">
        <f t="shared" si="7"/>
        <v>0</v>
      </c>
      <c r="I43" s="47"/>
      <c r="J43" s="233">
        <f>+'Res (100)'!J43</f>
        <v>2.7E-4</v>
      </c>
      <c r="K43" s="25">
        <f t="shared" si="12"/>
        <v>232</v>
      </c>
      <c r="L43" s="26">
        <f t="shared" si="8"/>
        <v>6.2640000000000001E-2</v>
      </c>
      <c r="M43" s="48"/>
      <c r="N43" s="30">
        <f t="shared" si="9"/>
        <v>6.2640000000000001E-2</v>
      </c>
      <c r="O43" s="31" t="str">
        <f t="shared" si="10"/>
        <v/>
      </c>
      <c r="Q43" s="107"/>
      <c r="S43" s="107"/>
      <c r="U43" s="107"/>
      <c r="W43" s="107"/>
    </row>
    <row r="44" spans="2:23" x14ac:dyDescent="0.2">
      <c r="B44" s="49" t="s">
        <v>26</v>
      </c>
      <c r="C44" s="21"/>
      <c r="D44" s="22" t="s">
        <v>21</v>
      </c>
      <c r="E44" s="23"/>
      <c r="F44" s="50">
        <f>'Res (100)'!F44</f>
        <v>6.9999999999999994E-5</v>
      </c>
      <c r="G44" s="51">
        <f>$F$18*(1+F70)</f>
        <v>239.77200000000002</v>
      </c>
      <c r="H44" s="26">
        <f>G44*F44</f>
        <v>1.678404E-2</v>
      </c>
      <c r="I44" s="27"/>
      <c r="J44" s="52">
        <f>'Proposed Rates'!E126</f>
        <v>6.9999999999999994E-5</v>
      </c>
      <c r="K44" s="51">
        <f>$F$18*(1+J70)</f>
        <v>239.77200000000002</v>
      </c>
      <c r="L44" s="26">
        <f>K44*J44</f>
        <v>1.678404E-2</v>
      </c>
      <c r="M44" s="27"/>
      <c r="N44" s="30">
        <f>L44-H44</f>
        <v>0</v>
      </c>
      <c r="O44" s="31">
        <f>IF((H44)=0,"",(N44/H44))</f>
        <v>0</v>
      </c>
      <c r="Q44" s="107"/>
      <c r="S44" s="107"/>
      <c r="U44" s="107"/>
      <c r="W44" s="107"/>
    </row>
    <row r="45" spans="2:23" x14ac:dyDescent="0.2">
      <c r="B45" s="49" t="s">
        <v>27</v>
      </c>
      <c r="C45" s="21"/>
      <c r="D45" s="22"/>
      <c r="E45" s="23"/>
      <c r="F45" s="53">
        <f>IF(ISBLANK(D16)=TRUE, 0, IF(D16="TOU", 0.65*$F$55+0.17*$F$56+0.18*$F$57, IF(AND(D16="non-TOU", G59&gt;0), F59,F58)))</f>
        <v>0.11139</v>
      </c>
      <c r="G45" s="54">
        <f>$F$18*(1+$F$70)-$F$18</f>
        <v>7.7720000000000198</v>
      </c>
      <c r="H45" s="26">
        <f t="shared" si="7"/>
        <v>0.8657230800000022</v>
      </c>
      <c r="I45" s="27"/>
      <c r="J45" s="55">
        <f>0.65*$J$55+0.17*$J$56+0.18*$J$57</f>
        <v>0.11139</v>
      </c>
      <c r="K45" s="54">
        <f>$F$18*(1+$J$70)-$F$18</f>
        <v>7.7720000000000198</v>
      </c>
      <c r="L45" s="26">
        <f t="shared" si="8"/>
        <v>0.8657230800000022</v>
      </c>
      <c r="M45" s="27"/>
      <c r="N45" s="30">
        <f t="shared" si="9"/>
        <v>0</v>
      </c>
      <c r="O45" s="31">
        <f t="shared" si="10"/>
        <v>0</v>
      </c>
      <c r="Q45" s="107"/>
      <c r="S45" s="107"/>
      <c r="U45" s="107"/>
      <c r="W45" s="107"/>
    </row>
    <row r="46" spans="2:23" x14ac:dyDescent="0.2">
      <c r="B46" s="49" t="s">
        <v>28</v>
      </c>
      <c r="C46" s="21"/>
      <c r="D46" s="22" t="s">
        <v>18</v>
      </c>
      <c r="E46" s="23"/>
      <c r="F46" s="53">
        <f>'Res (100)'!F46</f>
        <v>0.79</v>
      </c>
      <c r="G46" s="25">
        <v>1</v>
      </c>
      <c r="H46" s="26">
        <f>G46*F46</f>
        <v>0.79</v>
      </c>
      <c r="I46" s="27"/>
      <c r="J46" s="53">
        <f>'Proposed Rates'!E141</f>
        <v>0.79</v>
      </c>
      <c r="K46" s="25">
        <v>1</v>
      </c>
      <c r="L46" s="26">
        <f>K46*J46</f>
        <v>0.79</v>
      </c>
      <c r="M46" s="27"/>
      <c r="N46" s="30">
        <f>L46-H46</f>
        <v>0</v>
      </c>
      <c r="O46" s="31">
        <f t="shared" si="10"/>
        <v>0</v>
      </c>
      <c r="Q46" s="107"/>
      <c r="S46" s="107"/>
      <c r="U46" s="107"/>
      <c r="W46" s="107"/>
    </row>
    <row r="47" spans="2:23" ht="25.5" x14ac:dyDescent="0.2">
      <c r="B47" s="56" t="s">
        <v>29</v>
      </c>
      <c r="C47" s="57"/>
      <c r="D47" s="57"/>
      <c r="E47" s="57"/>
      <c r="F47" s="58"/>
      <c r="G47" s="59"/>
      <c r="H47" s="60">
        <f>SUM(H40:H46)+H39</f>
        <v>18.883747120000006</v>
      </c>
      <c r="I47" s="40"/>
      <c r="J47" s="59"/>
      <c r="K47" s="61"/>
      <c r="L47" s="60">
        <f>SUM(L40:L46)+L39</f>
        <v>21.301547120000002</v>
      </c>
      <c r="M47" s="40"/>
      <c r="N47" s="43">
        <f t="shared" ref="N47:N63" si="13">L47-H47</f>
        <v>2.4177999999999962</v>
      </c>
      <c r="O47" s="44">
        <f t="shared" si="10"/>
        <v>0.12803602932382391</v>
      </c>
      <c r="Q47" s="107"/>
      <c r="S47" s="107"/>
      <c r="U47" s="107"/>
      <c r="W47" s="107"/>
    </row>
    <row r="48" spans="2:23" x14ac:dyDescent="0.2">
      <c r="B48" s="27" t="s">
        <v>30</v>
      </c>
      <c r="C48" s="27"/>
      <c r="D48" s="62" t="s">
        <v>21</v>
      </c>
      <c r="E48" s="63"/>
      <c r="F48" s="28">
        <f>'Res (100)'!F48</f>
        <v>7.6E-3</v>
      </c>
      <c r="G48" s="64">
        <f>F18*(1+F70)</f>
        <v>239.77200000000002</v>
      </c>
      <c r="H48" s="26">
        <f>G48*F48</f>
        <v>1.8222672000000002</v>
      </c>
      <c r="I48" s="27"/>
      <c r="J48" s="28">
        <f>'Res (100)'!J48</f>
        <v>7.4000000000000003E-3</v>
      </c>
      <c r="K48" s="65">
        <f>F18*(1+J70)</f>
        <v>239.77200000000002</v>
      </c>
      <c r="L48" s="26">
        <f>K48*J48</f>
        <v>1.7743128000000001</v>
      </c>
      <c r="M48" s="27"/>
      <c r="N48" s="30">
        <f t="shared" si="13"/>
        <v>-4.7954400000000064E-2</v>
      </c>
      <c r="O48" s="31">
        <f t="shared" si="10"/>
        <v>-2.6315789473684244E-2</v>
      </c>
      <c r="Q48" s="107"/>
      <c r="S48" s="107"/>
      <c r="U48" s="107"/>
      <c r="W48" s="107"/>
    </row>
    <row r="49" spans="2:23" ht="25.5" x14ac:dyDescent="0.2">
      <c r="B49" s="66" t="s">
        <v>31</v>
      </c>
      <c r="C49" s="27"/>
      <c r="D49" s="62" t="s">
        <v>21</v>
      </c>
      <c r="E49" s="63"/>
      <c r="F49" s="28">
        <f>'Res (100)'!F49</f>
        <v>4.7000000000000002E-3</v>
      </c>
      <c r="G49" s="64">
        <f>G48</f>
        <v>239.77200000000002</v>
      </c>
      <c r="H49" s="26">
        <f>G49*F49</f>
        <v>1.1269284000000002</v>
      </c>
      <c r="I49" s="27"/>
      <c r="J49" s="28">
        <f>'Res (100)'!J49</f>
        <v>4.7000000000000002E-3</v>
      </c>
      <c r="K49" s="65">
        <f>K48</f>
        <v>239.77200000000002</v>
      </c>
      <c r="L49" s="26">
        <f>K49*J49</f>
        <v>1.1269284000000002</v>
      </c>
      <c r="M49" s="27"/>
      <c r="N49" s="30">
        <f t="shared" si="13"/>
        <v>0</v>
      </c>
      <c r="O49" s="31">
        <f t="shared" si="10"/>
        <v>0</v>
      </c>
      <c r="Q49" s="107"/>
      <c r="S49" s="107"/>
      <c r="U49" s="107"/>
      <c r="W49" s="107"/>
    </row>
    <row r="50" spans="2:23" ht="25.5" x14ac:dyDescent="0.2">
      <c r="B50" s="56" t="s">
        <v>32</v>
      </c>
      <c r="C50" s="35"/>
      <c r="D50" s="35"/>
      <c r="E50" s="35"/>
      <c r="F50" s="67"/>
      <c r="G50" s="59"/>
      <c r="H50" s="60">
        <f>SUM(H47:H49)</f>
        <v>21.832942720000005</v>
      </c>
      <c r="I50" s="68"/>
      <c r="J50" s="69"/>
      <c r="K50" s="70"/>
      <c r="L50" s="60">
        <f>SUM(L47:L49)</f>
        <v>24.202788320000003</v>
      </c>
      <c r="M50" s="68"/>
      <c r="N50" s="43">
        <f t="shared" si="13"/>
        <v>2.3698455999999979</v>
      </c>
      <c r="O50" s="44">
        <f t="shared" si="10"/>
        <v>0.10854448850035719</v>
      </c>
      <c r="Q50" s="102"/>
      <c r="S50" s="102"/>
      <c r="U50" s="102"/>
      <c r="W50" s="102"/>
    </row>
    <row r="51" spans="2:23" ht="25.5" x14ac:dyDescent="0.2">
      <c r="B51" s="71" t="s">
        <v>33</v>
      </c>
      <c r="C51" s="21"/>
      <c r="D51" s="22" t="s">
        <v>21</v>
      </c>
      <c r="E51" s="23"/>
      <c r="F51" s="72">
        <f>'Res (100)'!F51</f>
        <v>3.5999999999999999E-3</v>
      </c>
      <c r="G51" s="64">
        <f>G49</f>
        <v>239.77200000000002</v>
      </c>
      <c r="H51" s="73">
        <f t="shared" ref="H51:H57" si="14">G51*F51</f>
        <v>0.86317920000000004</v>
      </c>
      <c r="I51" s="27"/>
      <c r="J51" s="72">
        <f>F51</f>
        <v>3.5999999999999999E-3</v>
      </c>
      <c r="K51" s="65">
        <f>K49</f>
        <v>239.77200000000002</v>
      </c>
      <c r="L51" s="73">
        <f t="shared" ref="L51:L57" si="15">K51*J51</f>
        <v>0.86317920000000004</v>
      </c>
      <c r="M51" s="27"/>
      <c r="N51" s="30">
        <f t="shared" si="13"/>
        <v>0</v>
      </c>
      <c r="O51" s="74">
        <f t="shared" si="10"/>
        <v>0</v>
      </c>
      <c r="Q51" s="107"/>
      <c r="S51" s="107"/>
      <c r="U51" s="107"/>
      <c r="W51" s="107"/>
    </row>
    <row r="52" spans="2:23" ht="25.5" x14ac:dyDescent="0.2">
      <c r="B52" s="71" t="s">
        <v>34</v>
      </c>
      <c r="C52" s="21"/>
      <c r="D52" s="22" t="s">
        <v>21</v>
      </c>
      <c r="E52" s="23"/>
      <c r="F52" s="72">
        <f>'Res (100)'!F52</f>
        <v>1.2999999999999999E-3</v>
      </c>
      <c r="G52" s="64">
        <f>G49</f>
        <v>239.77200000000002</v>
      </c>
      <c r="H52" s="73">
        <f t="shared" si="14"/>
        <v>0.31170360000000003</v>
      </c>
      <c r="I52" s="27"/>
      <c r="J52" s="72">
        <f>F52</f>
        <v>1.2999999999999999E-3</v>
      </c>
      <c r="K52" s="65">
        <f>K49</f>
        <v>239.77200000000002</v>
      </c>
      <c r="L52" s="73">
        <f t="shared" si="15"/>
        <v>0.31170360000000003</v>
      </c>
      <c r="M52" s="27"/>
      <c r="N52" s="30">
        <f t="shared" si="13"/>
        <v>0</v>
      </c>
      <c r="O52" s="74">
        <f t="shared" si="10"/>
        <v>0</v>
      </c>
      <c r="Q52" s="107"/>
      <c r="S52" s="107"/>
      <c r="U52" s="107"/>
      <c r="W52" s="107"/>
    </row>
    <row r="53" spans="2:23" x14ac:dyDescent="0.2">
      <c r="B53" s="21" t="s">
        <v>35</v>
      </c>
      <c r="C53" s="21"/>
      <c r="D53" s="22" t="s">
        <v>18</v>
      </c>
      <c r="E53" s="23"/>
      <c r="F53" s="72">
        <f>'Proposed Rates'!D196</f>
        <v>0.25</v>
      </c>
      <c r="G53" s="25">
        <v>1</v>
      </c>
      <c r="H53" s="73">
        <f t="shared" si="14"/>
        <v>0.25</v>
      </c>
      <c r="I53" s="27"/>
      <c r="J53" s="72">
        <f>'Proposed Rates'!E196</f>
        <v>0.25</v>
      </c>
      <c r="K53" s="29">
        <v>1</v>
      </c>
      <c r="L53" s="73">
        <f t="shared" si="15"/>
        <v>0.25</v>
      </c>
      <c r="M53" s="27"/>
      <c r="N53" s="30">
        <f t="shared" si="13"/>
        <v>0</v>
      </c>
      <c r="O53" s="74">
        <f t="shared" si="10"/>
        <v>0</v>
      </c>
      <c r="Q53" s="107"/>
      <c r="S53" s="107"/>
      <c r="U53" s="107"/>
      <c r="W53" s="107"/>
    </row>
    <row r="54" spans="2:23" x14ac:dyDescent="0.2">
      <c r="B54" s="21" t="s">
        <v>122</v>
      </c>
      <c r="C54" s="21"/>
      <c r="D54" s="22"/>
      <c r="E54" s="23"/>
      <c r="F54" s="72">
        <f>'Res (100)'!F54</f>
        <v>1.1000000000000001E-3</v>
      </c>
      <c r="G54" s="64">
        <f>F18*(1+F70)</f>
        <v>239.77200000000002</v>
      </c>
      <c r="H54" s="73">
        <f>G54*F54</f>
        <v>0.26374920000000002</v>
      </c>
      <c r="I54" s="27"/>
      <c r="J54" s="72">
        <f>'Res (100)'!J54</f>
        <v>1.1000000000000001E-3</v>
      </c>
      <c r="K54" s="65">
        <f>F18*(1+J70)</f>
        <v>239.77200000000002</v>
      </c>
      <c r="L54" s="73">
        <f>K54*J54</f>
        <v>0.26374920000000002</v>
      </c>
      <c r="M54" s="27"/>
      <c r="N54" s="30"/>
      <c r="O54" s="74"/>
      <c r="Q54" s="107"/>
      <c r="S54" s="107"/>
      <c r="U54" s="107"/>
      <c r="W54" s="107"/>
    </row>
    <row r="55" spans="2:23" x14ac:dyDescent="0.2">
      <c r="B55" s="49" t="s">
        <v>37</v>
      </c>
      <c r="C55" s="21"/>
      <c r="D55" s="22"/>
      <c r="E55" s="23"/>
      <c r="F55" s="72">
        <f>'Res (100)'!F55</f>
        <v>8.6999999999999994E-2</v>
      </c>
      <c r="G55" s="77">
        <f>0.65*$F$18</f>
        <v>150.80000000000001</v>
      </c>
      <c r="H55" s="73">
        <f t="shared" si="14"/>
        <v>13.1196</v>
      </c>
      <c r="I55" s="27"/>
      <c r="J55" s="72">
        <f>F55</f>
        <v>8.6999999999999994E-2</v>
      </c>
      <c r="K55" s="77">
        <f>$G$55</f>
        <v>150.80000000000001</v>
      </c>
      <c r="L55" s="73">
        <f t="shared" si="15"/>
        <v>13.1196</v>
      </c>
      <c r="M55" s="27"/>
      <c r="N55" s="30">
        <f t="shared" si="13"/>
        <v>0</v>
      </c>
      <c r="O55" s="74">
        <f t="shared" si="10"/>
        <v>0</v>
      </c>
      <c r="Q55" s="107"/>
      <c r="S55" s="107"/>
      <c r="U55" s="107"/>
      <c r="W55" s="107"/>
    </row>
    <row r="56" spans="2:23" x14ac:dyDescent="0.2">
      <c r="B56" s="49" t="s">
        <v>38</v>
      </c>
      <c r="C56" s="21"/>
      <c r="D56" s="22"/>
      <c r="E56" s="23"/>
      <c r="F56" s="72">
        <f>'Res (100)'!F56</f>
        <v>0.13200000000000001</v>
      </c>
      <c r="G56" s="77">
        <f>0.17*$F$18</f>
        <v>39.440000000000005</v>
      </c>
      <c r="H56" s="73">
        <f t="shared" si="14"/>
        <v>5.2060800000000009</v>
      </c>
      <c r="I56" s="27"/>
      <c r="J56" s="72">
        <f>F56</f>
        <v>0.13200000000000001</v>
      </c>
      <c r="K56" s="77">
        <f>$G$56</f>
        <v>39.440000000000005</v>
      </c>
      <c r="L56" s="73">
        <f t="shared" si="15"/>
        <v>5.2060800000000009</v>
      </c>
      <c r="M56" s="27"/>
      <c r="N56" s="30">
        <f t="shared" si="13"/>
        <v>0</v>
      </c>
      <c r="O56" s="74">
        <f t="shared" si="10"/>
        <v>0</v>
      </c>
      <c r="Q56" s="107"/>
      <c r="S56" s="107"/>
      <c r="U56" s="107"/>
      <c r="W56" s="107"/>
    </row>
    <row r="57" spans="2:23" x14ac:dyDescent="0.2">
      <c r="B57" s="11" t="s">
        <v>39</v>
      </c>
      <c r="C57" s="21"/>
      <c r="D57" s="22"/>
      <c r="E57" s="23"/>
      <c r="F57" s="72">
        <f>'Res (100)'!F57</f>
        <v>0.18</v>
      </c>
      <c r="G57" s="77">
        <f>0.18*$F$18</f>
        <v>41.76</v>
      </c>
      <c r="H57" s="73">
        <f t="shared" si="14"/>
        <v>7.516799999999999</v>
      </c>
      <c r="I57" s="27"/>
      <c r="J57" s="72">
        <f>F57</f>
        <v>0.18</v>
      </c>
      <c r="K57" s="77">
        <f>$G$57</f>
        <v>41.76</v>
      </c>
      <c r="L57" s="73">
        <f t="shared" si="15"/>
        <v>7.516799999999999</v>
      </c>
      <c r="M57" s="27"/>
      <c r="N57" s="30">
        <f t="shared" si="13"/>
        <v>0</v>
      </c>
      <c r="O57" s="74">
        <f t="shared" si="10"/>
        <v>0</v>
      </c>
      <c r="Q57" s="107"/>
      <c r="S57" s="107"/>
      <c r="U57" s="107"/>
      <c r="W57" s="107"/>
    </row>
    <row r="58" spans="2:23" s="85" customFormat="1" x14ac:dyDescent="0.2">
      <c r="B58" s="78" t="s">
        <v>40</v>
      </c>
      <c r="C58" s="79"/>
      <c r="D58" s="80"/>
      <c r="E58" s="81"/>
      <c r="F58" s="72">
        <f>'Res (100)'!F58</f>
        <v>0.10299999999999999</v>
      </c>
      <c r="G58" s="82">
        <f>IF(AND($Q$1=1, F18&gt;=600), 600, IF(AND($Q$1=1, AND(F18&lt;600, F18&gt;=0)), F18, IF(AND($Q$1=2, F18&gt;=1000), 1000, IF(AND($Q$1=2, AND(F18&lt;1000, F18&gt;=0)), F18))))</f>
        <v>232</v>
      </c>
      <c r="H58" s="73">
        <f>G58*F58</f>
        <v>23.895999999999997</v>
      </c>
      <c r="I58" s="83"/>
      <c r="J58" s="72">
        <f>F58</f>
        <v>0.10299999999999999</v>
      </c>
      <c r="K58" s="82">
        <f>$G$58</f>
        <v>232</v>
      </c>
      <c r="L58" s="73">
        <f>K58*J58</f>
        <v>23.895999999999997</v>
      </c>
      <c r="M58" s="83"/>
      <c r="N58" s="84">
        <f t="shared" si="13"/>
        <v>0</v>
      </c>
      <c r="O58" s="74">
        <f t="shared" si="10"/>
        <v>0</v>
      </c>
      <c r="Q58" s="143"/>
      <c r="R58" s="212"/>
      <c r="S58" s="143"/>
      <c r="T58" s="212"/>
      <c r="U58" s="143"/>
      <c r="V58" s="212"/>
      <c r="W58" s="143"/>
    </row>
    <row r="59" spans="2:23" s="85" customFormat="1" ht="13.5" thickBot="1" x14ac:dyDescent="0.25">
      <c r="B59" s="78" t="s">
        <v>41</v>
      </c>
      <c r="C59" s="79"/>
      <c r="D59" s="80"/>
      <c r="E59" s="81"/>
      <c r="F59" s="72">
        <f>'Res (100)'!F59</f>
        <v>0.121</v>
      </c>
      <c r="G59" s="82">
        <f>IF(AND($Q$1=1, F18&gt;=600), F18-600, IF(AND($Q$1=1, AND(F18&lt;600, F18&gt;=0)), 0, IF(AND($Q$1=2, F18&gt;=1000), F18-1000, IF(AND($Q$1=2, AND(F18&lt;1000, F18&gt;=0)), 0))))</f>
        <v>0</v>
      </c>
      <c r="H59" s="73">
        <f>G59*F59</f>
        <v>0</v>
      </c>
      <c r="I59" s="83"/>
      <c r="J59" s="72">
        <f>F59</f>
        <v>0.121</v>
      </c>
      <c r="K59" s="82">
        <f>$G$59</f>
        <v>0</v>
      </c>
      <c r="L59" s="73">
        <f>K59*J59</f>
        <v>0</v>
      </c>
      <c r="M59" s="83"/>
      <c r="N59" s="84">
        <f t="shared" si="13"/>
        <v>0</v>
      </c>
      <c r="O59" s="74" t="str">
        <f t="shared" si="10"/>
        <v/>
      </c>
      <c r="Q59" s="143"/>
      <c r="R59" s="212"/>
      <c r="S59" s="143"/>
      <c r="T59" s="212"/>
      <c r="U59" s="143"/>
      <c r="V59" s="212"/>
      <c r="W59" s="143"/>
    </row>
    <row r="60" spans="2:23" ht="8.25" customHeight="1" thickBot="1" x14ac:dyDescent="0.25">
      <c r="B60" s="86"/>
      <c r="C60" s="87"/>
      <c r="D60" s="88"/>
      <c r="E60" s="87"/>
      <c r="F60" s="89"/>
      <c r="G60" s="90"/>
      <c r="H60" s="91"/>
      <c r="I60" s="92"/>
      <c r="J60" s="89"/>
      <c r="K60" s="93"/>
      <c r="L60" s="91"/>
      <c r="M60" s="92"/>
      <c r="N60" s="94"/>
      <c r="O60" s="95"/>
      <c r="Q60" s="107"/>
      <c r="S60" s="107"/>
      <c r="U60" s="107"/>
      <c r="W60" s="107"/>
    </row>
    <row r="61" spans="2:23" x14ac:dyDescent="0.2">
      <c r="B61" s="96" t="s">
        <v>42</v>
      </c>
      <c r="C61" s="21"/>
      <c r="D61" s="21"/>
      <c r="E61" s="21"/>
      <c r="F61" s="97"/>
      <c r="G61" s="98"/>
      <c r="H61" s="99">
        <f>SUM(H51:H57,H50)</f>
        <v>49.364054720000006</v>
      </c>
      <c r="I61" s="100"/>
      <c r="J61" s="101"/>
      <c r="K61" s="101"/>
      <c r="L61" s="99">
        <f>SUM(L51:L57,L50)</f>
        <v>51.733900320000004</v>
      </c>
      <c r="M61" s="102"/>
      <c r="N61" s="103">
        <f t="shared" ref="N61" si="16">L61-H61</f>
        <v>2.3698455999999979</v>
      </c>
      <c r="O61" s="104">
        <f t="shared" ref="O61" si="17">IF((H61)=0,"",(N61/H61))</f>
        <v>4.8007515052037396E-2</v>
      </c>
      <c r="Q61" s="102"/>
      <c r="S61" s="102"/>
      <c r="U61" s="102"/>
      <c r="W61" s="102"/>
    </row>
    <row r="62" spans="2:23" x14ac:dyDescent="0.2">
      <c r="B62" s="105" t="s">
        <v>43</v>
      </c>
      <c r="C62" s="21"/>
      <c r="D62" s="21"/>
      <c r="E62" s="21"/>
      <c r="F62" s="106">
        <v>0.13</v>
      </c>
      <c r="G62" s="107"/>
      <c r="H62" s="108">
        <f>H61*F62</f>
        <v>6.4173271136000007</v>
      </c>
      <c r="I62" s="109"/>
      <c r="J62" s="110">
        <v>0.13</v>
      </c>
      <c r="K62" s="109"/>
      <c r="L62" s="111">
        <f>L61*J62</f>
        <v>6.7254070416000005</v>
      </c>
      <c r="M62" s="112"/>
      <c r="N62" s="113">
        <f t="shared" si="13"/>
        <v>0.30807992799999973</v>
      </c>
      <c r="O62" s="114">
        <f t="shared" si="10"/>
        <v>4.8007515052037396E-2</v>
      </c>
      <c r="Q62" s="112"/>
      <c r="S62" s="112"/>
      <c r="U62" s="112"/>
      <c r="W62" s="112"/>
    </row>
    <row r="63" spans="2:23" ht="13.5" thickBot="1" x14ac:dyDescent="0.25">
      <c r="B63" s="115" t="s">
        <v>44</v>
      </c>
      <c r="C63" s="21"/>
      <c r="D63" s="21"/>
      <c r="E63" s="21"/>
      <c r="F63" s="116"/>
      <c r="G63" s="107"/>
      <c r="H63" s="99">
        <f>H61+H62</f>
        <v>55.781381833600008</v>
      </c>
      <c r="I63" s="109"/>
      <c r="J63" s="109"/>
      <c r="K63" s="109"/>
      <c r="L63" s="220">
        <f>L61+L62</f>
        <v>58.459307361600004</v>
      </c>
      <c r="M63" s="112"/>
      <c r="N63" s="103">
        <f t="shared" si="13"/>
        <v>2.6779255279999958</v>
      </c>
      <c r="O63" s="104">
        <f t="shared" si="10"/>
        <v>4.8007515052037361E-2</v>
      </c>
      <c r="Q63" s="112"/>
      <c r="S63" s="112"/>
      <c r="U63" s="112"/>
      <c r="W63" s="112"/>
    </row>
    <row r="64" spans="2:23" s="85" customFormat="1" ht="8.25" customHeight="1" thickBot="1" x14ac:dyDescent="0.25">
      <c r="B64" s="117"/>
      <c r="C64" s="118"/>
      <c r="D64" s="119"/>
      <c r="E64" s="118"/>
      <c r="F64" s="89"/>
      <c r="G64" s="120"/>
      <c r="H64" s="91"/>
      <c r="I64" s="121"/>
      <c r="J64" s="89"/>
      <c r="K64" s="122"/>
      <c r="L64" s="91"/>
      <c r="M64" s="121"/>
      <c r="N64" s="123"/>
      <c r="O64" s="95"/>
      <c r="Q64" s="143"/>
      <c r="R64" s="212"/>
      <c r="S64" s="143"/>
      <c r="T64" s="212"/>
      <c r="U64" s="143"/>
      <c r="V64" s="212"/>
      <c r="W64" s="143"/>
    </row>
    <row r="65" spans="1:23" s="85" customFormat="1" x14ac:dyDescent="0.2">
      <c r="B65" s="124" t="s">
        <v>45</v>
      </c>
      <c r="C65" s="79"/>
      <c r="D65" s="79"/>
      <c r="E65" s="79"/>
      <c r="F65" s="125"/>
      <c r="G65" s="126"/>
      <c r="H65" s="127">
        <f>SUM(H58:H59,H50,H51:H54)</f>
        <v>47.417574720000005</v>
      </c>
      <c r="I65" s="128"/>
      <c r="J65" s="129"/>
      <c r="K65" s="129"/>
      <c r="L65" s="127">
        <f>SUM(L58:L59,L50,L51:L54)</f>
        <v>49.787420319999995</v>
      </c>
      <c r="M65" s="130"/>
      <c r="N65" s="131">
        <f t="shared" ref="N65:N67" si="18">L65-H65</f>
        <v>2.3698455999999908</v>
      </c>
      <c r="O65" s="104">
        <f t="shared" ref="O65:O67" si="19">IF((H65)=0,"",(N65/H65))</f>
        <v>4.9978211960309861E-2</v>
      </c>
      <c r="Q65" s="130"/>
      <c r="R65" s="212"/>
      <c r="S65" s="130"/>
      <c r="T65" s="212"/>
      <c r="U65" s="130"/>
      <c r="V65" s="212"/>
      <c r="W65" s="130"/>
    </row>
    <row r="66" spans="1:23" s="85" customFormat="1" x14ac:dyDescent="0.2">
      <c r="B66" s="132" t="s">
        <v>43</v>
      </c>
      <c r="C66" s="79"/>
      <c r="D66" s="79"/>
      <c r="E66" s="79"/>
      <c r="F66" s="133">
        <v>0.13</v>
      </c>
      <c r="G66" s="126"/>
      <c r="H66" s="134">
        <f>H65*F66</f>
        <v>6.1642847136000007</v>
      </c>
      <c r="I66" s="135"/>
      <c r="J66" s="136">
        <v>0.13</v>
      </c>
      <c r="K66" s="137"/>
      <c r="L66" s="138">
        <f>L65*J66</f>
        <v>6.4723646415999996</v>
      </c>
      <c r="M66" s="139"/>
      <c r="N66" s="140">
        <f t="shared" si="18"/>
        <v>0.30807992799999884</v>
      </c>
      <c r="O66" s="114">
        <f t="shared" si="19"/>
        <v>4.9978211960309868E-2</v>
      </c>
      <c r="Q66" s="139"/>
      <c r="R66" s="212"/>
      <c r="S66" s="139"/>
      <c r="T66" s="212"/>
      <c r="U66" s="139"/>
      <c r="V66" s="212"/>
      <c r="W66" s="139"/>
    </row>
    <row r="67" spans="1:23" s="85" customFormat="1" ht="13.5" thickBot="1" x14ac:dyDescent="0.25">
      <c r="B67" s="141" t="s">
        <v>44</v>
      </c>
      <c r="C67" s="79"/>
      <c r="D67" s="79"/>
      <c r="E67" s="79"/>
      <c r="F67" s="142"/>
      <c r="G67" s="143"/>
      <c r="H67" s="127">
        <f>H65+H66</f>
        <v>53.581859433600002</v>
      </c>
      <c r="I67" s="135"/>
      <c r="J67" s="135"/>
      <c r="K67" s="135"/>
      <c r="L67" s="219">
        <f>L65+L66</f>
        <v>56.259784961599998</v>
      </c>
      <c r="M67" s="139"/>
      <c r="N67" s="131">
        <f t="shared" si="18"/>
        <v>2.6779255279999958</v>
      </c>
      <c r="O67" s="104">
        <f t="shared" si="19"/>
        <v>4.9978211960309979E-2</v>
      </c>
      <c r="Q67" s="139"/>
      <c r="R67" s="212"/>
      <c r="S67" s="139"/>
      <c r="T67" s="212"/>
      <c r="U67" s="139"/>
      <c r="V67" s="212"/>
      <c r="W67" s="139"/>
    </row>
    <row r="68" spans="1:23" s="85" customFormat="1" ht="8.25" customHeight="1" thickBot="1" x14ac:dyDescent="0.25">
      <c r="B68" s="117"/>
      <c r="C68" s="118"/>
      <c r="D68" s="119"/>
      <c r="E68" s="118"/>
      <c r="F68" s="144"/>
      <c r="G68" s="145"/>
      <c r="H68" s="146"/>
      <c r="I68" s="147"/>
      <c r="J68" s="144"/>
      <c r="K68" s="120"/>
      <c r="L68" s="148"/>
      <c r="M68" s="121"/>
      <c r="N68" s="149"/>
      <c r="O68" s="95"/>
      <c r="Q68" s="143"/>
      <c r="R68" s="212"/>
      <c r="S68" s="143"/>
      <c r="T68" s="212"/>
      <c r="U68" s="143"/>
      <c r="V68" s="212"/>
      <c r="W68" s="143"/>
    </row>
    <row r="69" spans="1:23" x14ac:dyDescent="0.2">
      <c r="L69" s="150"/>
    </row>
    <row r="70" spans="1:23" x14ac:dyDescent="0.2">
      <c r="B70" s="12" t="s">
        <v>46</v>
      </c>
      <c r="F70" s="151">
        <f>'Res (100)'!F70</f>
        <v>3.3500000000000002E-2</v>
      </c>
      <c r="J70" s="151">
        <f>+'Res (100)'!J70</f>
        <v>3.3500000000000002E-2</v>
      </c>
    </row>
    <row r="73" spans="1:23" x14ac:dyDescent="0.2">
      <c r="B73" s="96" t="s">
        <v>42</v>
      </c>
      <c r="C73" s="21"/>
      <c r="D73" s="21"/>
      <c r="E73" s="21"/>
      <c r="F73" s="97"/>
      <c r="G73" s="98"/>
      <c r="H73" s="99">
        <f>+H61-H31-H40-H41-H42</f>
        <v>49.590414720000005</v>
      </c>
      <c r="I73" s="100"/>
      <c r="J73" s="101"/>
      <c r="K73" s="101"/>
      <c r="L73" s="99">
        <f>+L61-L31-L40-L41-L42</f>
        <v>52.270700320000003</v>
      </c>
      <c r="M73" s="102"/>
      <c r="N73" s="103">
        <f t="shared" ref="N73:N75" si="20">L73-H73</f>
        <v>2.6802855999999977</v>
      </c>
      <c r="O73" s="104">
        <f t="shared" ref="O73:O75" si="21">IF((H73)=0,"",(N73/H73))</f>
        <v>5.404846108131111E-2</v>
      </c>
      <c r="Q73" s="102"/>
      <c r="S73" s="102"/>
      <c r="U73" s="102"/>
      <c r="W73" s="102"/>
    </row>
    <row r="74" spans="1:23" x14ac:dyDescent="0.2">
      <c r="B74" s="105" t="s">
        <v>43</v>
      </c>
      <c r="C74" s="21"/>
      <c r="D74" s="21"/>
      <c r="E74" s="21"/>
      <c r="F74" s="106">
        <v>0.13</v>
      </c>
      <c r="G74" s="107"/>
      <c r="H74" s="108">
        <f>H73*F74</f>
        <v>6.4467539136000012</v>
      </c>
      <c r="I74" s="109"/>
      <c r="J74" s="110">
        <v>0.13</v>
      </c>
      <c r="K74" s="109"/>
      <c r="L74" s="111">
        <f>L73*J74</f>
        <v>6.7951910416000008</v>
      </c>
      <c r="M74" s="112"/>
      <c r="N74" s="113">
        <f t="shared" si="20"/>
        <v>0.3484371279999996</v>
      </c>
      <c r="O74" s="114">
        <f t="shared" si="21"/>
        <v>5.4048461081311089E-2</v>
      </c>
      <c r="Q74" s="112"/>
      <c r="S74" s="112"/>
      <c r="U74" s="112"/>
      <c r="W74" s="112"/>
    </row>
    <row r="75" spans="1:23" x14ac:dyDescent="0.2">
      <c r="B75" s="217" t="s">
        <v>44</v>
      </c>
      <c r="C75" s="218"/>
      <c r="D75" s="218"/>
      <c r="E75" s="218"/>
      <c r="F75" s="213"/>
      <c r="G75" s="214"/>
      <c r="H75" s="225">
        <f>H73+H74</f>
        <v>56.037168633600004</v>
      </c>
      <c r="I75" s="215"/>
      <c r="J75" s="215"/>
      <c r="K75" s="215"/>
      <c r="L75" s="224">
        <f>L73+L74</f>
        <v>59.065891361600002</v>
      </c>
      <c r="M75" s="216"/>
      <c r="N75" s="223">
        <f t="shared" si="20"/>
        <v>3.0287227279999982</v>
      </c>
      <c r="O75" s="222">
        <f t="shared" si="21"/>
        <v>5.4048461081311124E-2</v>
      </c>
      <c r="P75" s="12"/>
      <c r="Q75" s="112"/>
      <c r="S75" s="112"/>
      <c r="U75" s="112"/>
      <c r="W75" s="112"/>
    </row>
    <row r="76" spans="1:23" ht="13.5" customHeight="1" x14ac:dyDescent="0.2">
      <c r="Q76" s="210"/>
      <c r="R76" s="210"/>
      <c r="S76" s="6"/>
      <c r="T76" s="6"/>
      <c r="U76" s="6"/>
      <c r="V76" s="6"/>
      <c r="W76" s="6"/>
    </row>
    <row r="77" spans="1:23" ht="12" customHeight="1" x14ac:dyDescent="0.2">
      <c r="A77" s="6" t="s">
        <v>47</v>
      </c>
      <c r="Q77" s="210"/>
      <c r="R77" s="210"/>
      <c r="S77" s="6"/>
      <c r="T77" s="6"/>
      <c r="U77" s="6"/>
      <c r="V77" s="6"/>
      <c r="W77" s="6"/>
    </row>
    <row r="78" spans="1:23" x14ac:dyDescent="0.2">
      <c r="A78" s="6" t="s">
        <v>48</v>
      </c>
      <c r="Q78" s="210"/>
      <c r="R78" s="210"/>
      <c r="S78" s="6"/>
      <c r="T78" s="6"/>
      <c r="U78" s="6"/>
      <c r="V78" s="6"/>
      <c r="W78" s="6"/>
    </row>
    <row r="79" spans="1:23" x14ac:dyDescent="0.2">
      <c r="Q79" s="210"/>
      <c r="R79" s="210"/>
      <c r="S79" s="6"/>
      <c r="T79" s="6"/>
      <c r="U79" s="6"/>
      <c r="V79" s="6"/>
      <c r="W79" s="6"/>
    </row>
    <row r="80" spans="1:23" x14ac:dyDescent="0.2">
      <c r="A80" s="153" t="s">
        <v>136</v>
      </c>
      <c r="Q80" s="210"/>
      <c r="R80" s="210"/>
      <c r="S80" s="6"/>
      <c r="T80" s="6"/>
      <c r="U80" s="6"/>
      <c r="V80" s="6"/>
      <c r="W80" s="6"/>
    </row>
    <row r="81" spans="1:23" x14ac:dyDescent="0.2">
      <c r="A81" s="11" t="s">
        <v>49</v>
      </c>
      <c r="Q81" s="210"/>
      <c r="R81" s="210"/>
      <c r="S81" s="6"/>
      <c r="T81" s="6"/>
      <c r="U81" s="6"/>
      <c r="V81" s="6"/>
      <c r="W81" s="6"/>
    </row>
    <row r="82" spans="1:23" x14ac:dyDescent="0.2">
      <c r="Q82" s="210"/>
      <c r="R82" s="210"/>
      <c r="S82" s="6"/>
      <c r="T82" s="6"/>
      <c r="U82" s="6"/>
      <c r="V82" s="6"/>
      <c r="W82" s="6"/>
    </row>
    <row r="83" spans="1:23" x14ac:dyDescent="0.2">
      <c r="A83" s="6" t="s">
        <v>135</v>
      </c>
      <c r="Q83" s="210"/>
      <c r="R83" s="210"/>
      <c r="S83" s="6"/>
      <c r="T83" s="6"/>
      <c r="U83" s="6"/>
      <c r="V83" s="6"/>
      <c r="W83" s="6"/>
    </row>
    <row r="84" spans="1:23" x14ac:dyDescent="0.2">
      <c r="A84" s="6" t="s">
        <v>50</v>
      </c>
      <c r="Q84" s="210"/>
      <c r="R84" s="210"/>
      <c r="S84" s="6"/>
      <c r="T84" s="6"/>
      <c r="U84" s="6"/>
      <c r="V84" s="6"/>
      <c r="W84" s="6"/>
    </row>
    <row r="85" spans="1:23" x14ac:dyDescent="0.2">
      <c r="A85" s="6" t="s">
        <v>51</v>
      </c>
      <c r="Q85" s="210"/>
      <c r="R85" s="210"/>
      <c r="S85" s="6"/>
      <c r="T85" s="6"/>
      <c r="U85" s="6"/>
      <c r="V85" s="6"/>
      <c r="W85" s="6"/>
    </row>
    <row r="86" spans="1:23" x14ac:dyDescent="0.2">
      <c r="A86" s="6" t="s">
        <v>52</v>
      </c>
      <c r="Q86" s="210"/>
      <c r="R86" s="210"/>
      <c r="S86" s="6"/>
      <c r="T86" s="6"/>
      <c r="U86" s="6"/>
      <c r="V86" s="6"/>
      <c r="W86" s="6"/>
    </row>
    <row r="87" spans="1:23" x14ac:dyDescent="0.2">
      <c r="A87" s="6" t="s">
        <v>53</v>
      </c>
      <c r="Q87" s="210"/>
      <c r="R87" s="210"/>
      <c r="S87" s="6"/>
      <c r="T87" s="6"/>
      <c r="U87" s="6"/>
      <c r="V87" s="6"/>
      <c r="W87" s="6"/>
    </row>
    <row r="88" spans="1:23" x14ac:dyDescent="0.2">
      <c r="Q88" s="210"/>
      <c r="R88" s="210"/>
      <c r="S88" s="6"/>
      <c r="T88" s="6"/>
      <c r="U88" s="6"/>
      <c r="V88" s="6"/>
      <c r="W88" s="6"/>
    </row>
    <row r="89" spans="1:23" x14ac:dyDescent="0.2">
      <c r="A89" s="152"/>
      <c r="B89" s="6" t="s">
        <v>54</v>
      </c>
      <c r="Q89" s="210"/>
      <c r="R89" s="210"/>
      <c r="S89" s="6"/>
      <c r="T89" s="6"/>
      <c r="U89" s="6"/>
      <c r="V89" s="6"/>
      <c r="W89" s="6"/>
    </row>
    <row r="90" spans="1:23" x14ac:dyDescent="0.2">
      <c r="Q90" s="210"/>
      <c r="R90" s="210"/>
      <c r="S90" s="6"/>
      <c r="T90" s="6"/>
      <c r="U90" s="6"/>
      <c r="V90" s="6"/>
      <c r="W90" s="6"/>
    </row>
    <row r="91" spans="1:23" x14ac:dyDescent="0.2">
      <c r="B91" s="153" t="s">
        <v>55</v>
      </c>
      <c r="Q91" s="210"/>
      <c r="R91" s="210"/>
      <c r="S91" s="6"/>
      <c r="T91" s="6"/>
      <c r="U91" s="6"/>
      <c r="V91" s="6"/>
      <c r="W91"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68 D64 D23:D38 D48:D49 D40:D46 D51:D60">
      <formula1>"Monthly, per kWh, per kW"</formula1>
    </dataValidation>
    <dataValidation type="list" allowBlank="1" showInputMessage="1" showErrorMessage="1" sqref="E48:E49 E68 E64 E23:E38 E40:E46 E51:E60">
      <formula1>#REF!</formula1>
    </dataValidation>
  </dataValidations>
  <pageMargins left="0.74803149606299213" right="0.74803149606299213" top="0.98425196850393704" bottom="0.98425196850393704" header="0.51181102362204722" footer="0.51181102362204722"/>
  <pageSetup scale="62" fitToWidth="2"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Option Button 1">
              <controlPr defaultSize="0" autoFill="0" autoLine="0" autoPict="0">
                <anchor moveWithCells="1">
                  <from>
                    <xdr:col>1</xdr:col>
                    <xdr:colOff>1676400</xdr:colOff>
                    <xdr:row>7</xdr:row>
                    <xdr:rowOff>19050</xdr:rowOff>
                  </from>
                  <to>
                    <xdr:col>3</xdr:col>
                    <xdr:colOff>561975</xdr:colOff>
                    <xdr:row>7</xdr:row>
                    <xdr:rowOff>114300</xdr:rowOff>
                  </to>
                </anchor>
              </controlPr>
            </control>
          </mc:Choice>
        </mc:AlternateContent>
        <mc:AlternateContent xmlns:mc="http://schemas.openxmlformats.org/markup-compatibility/2006">
          <mc:Choice Requires="x14">
            <control shapeId="47106" r:id="rId5" name="Option Button 2">
              <controlPr defaultSize="0" autoFill="0" autoLine="0" autoPict="0">
                <anchor moveWithCells="1">
                  <from>
                    <xdr:col>3</xdr:col>
                    <xdr:colOff>438150</xdr:colOff>
                    <xdr:row>6</xdr:row>
                    <xdr:rowOff>152400</xdr:rowOff>
                  </from>
                  <to>
                    <xdr:col>6</xdr:col>
                    <xdr:colOff>504825</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87"/>
  <sheetViews>
    <sheetView showGridLines="0" view="pageBreakPreview" topLeftCell="A54" zoomScale="70" zoomScaleNormal="85" zoomScaleSheetLayoutView="70" workbookViewId="0">
      <selection activeCell="O41" sqref="O4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2.28515625" style="6" customWidth="1"/>
    <col min="7" max="7" width="8.5703125" style="6" customWidth="1"/>
    <col min="8" max="8" width="11.5703125" style="6" bestFit="1" customWidth="1"/>
    <col min="9" max="9" width="2.85546875" style="6" customWidth="1"/>
    <col min="10" max="10" width="12.140625" style="6" customWidth="1"/>
    <col min="11" max="11" width="10.42578125" style="6" customWidth="1"/>
    <col min="12" max="12" width="11.140625" style="6" bestFit="1" customWidth="1"/>
    <col min="13" max="13" width="2.85546875" style="6" customWidth="1"/>
    <col min="14" max="14" width="12.7109375" style="6" bestFit="1" customWidth="1"/>
    <col min="15" max="15" width="10.85546875" style="6" bestFit="1" customWidth="1"/>
    <col min="16" max="16" width="3.85546875" style="6" customWidth="1"/>
    <col min="17" max="17" width="2.85546875" style="211" customWidth="1"/>
    <col min="18" max="18" width="4.5703125" style="211" customWidth="1"/>
    <col min="19" max="19" width="2.85546875" style="211" customWidth="1"/>
    <col min="20" max="20" width="4.5703125" style="211" customWidth="1"/>
    <col min="21" max="21" width="2.85546875" style="211" customWidth="1"/>
    <col min="22" max="22" width="4.5703125" style="211" customWidth="1"/>
    <col min="23" max="23" width="2.85546875" style="21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2</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250</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+'Res (100)'!F23</f>
        <v>12.96</v>
      </c>
      <c r="G23" s="25">
        <v>1</v>
      </c>
      <c r="H23" s="26">
        <f>G23*F23</f>
        <v>12.96</v>
      </c>
      <c r="I23" s="27"/>
      <c r="J23" s="28">
        <f>+'Res (100)'!J23</f>
        <v>16.600000000000001</v>
      </c>
      <c r="K23" s="29">
        <v>1</v>
      </c>
      <c r="L23" s="26">
        <f>K23*J23</f>
        <v>16.600000000000001</v>
      </c>
      <c r="M23" s="27"/>
      <c r="N23" s="30">
        <f>L23-H23</f>
        <v>3.6400000000000006</v>
      </c>
      <c r="O23" s="31">
        <f>IF((H23)=0,"",(N23/H23))</f>
        <v>0.28086419753086422</v>
      </c>
      <c r="Q23" s="107"/>
      <c r="S23" s="107"/>
      <c r="U23" s="107"/>
      <c r="W23" s="107"/>
    </row>
    <row r="24" spans="2:23" x14ac:dyDescent="0.2">
      <c r="B24" s="21" t="s">
        <v>19</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+'Res (100)'!F29</f>
        <v>1.9300000000000001E-2</v>
      </c>
      <c r="G29" s="25">
        <f>$F$18</f>
        <v>250</v>
      </c>
      <c r="H29" s="26">
        <f t="shared" si="0"/>
        <v>4.8250000000000002</v>
      </c>
      <c r="I29" s="27"/>
      <c r="J29" s="28">
        <f>+'Res (100)'!J29</f>
        <v>1.5100000000000001E-2</v>
      </c>
      <c r="K29" s="25">
        <f>$F$18</f>
        <v>250</v>
      </c>
      <c r="L29" s="26">
        <f t="shared" si="1"/>
        <v>3.7750000000000004</v>
      </c>
      <c r="M29" s="27"/>
      <c r="N29" s="30">
        <f t="shared" si="2"/>
        <v>-1.0499999999999998</v>
      </c>
      <c r="O29" s="31">
        <f t="shared" si="3"/>
        <v>-0.2176165803108808</v>
      </c>
      <c r="Q29" s="107"/>
      <c r="S29" s="107"/>
      <c r="U29" s="107"/>
      <c r="W29" s="107"/>
    </row>
    <row r="30" spans="2:23" x14ac:dyDescent="0.2">
      <c r="B30" s="21" t="s">
        <v>22</v>
      </c>
      <c r="C30" s="21"/>
      <c r="D30" s="22"/>
      <c r="E30" s="23"/>
      <c r="F30" s="24"/>
      <c r="G30" s="25">
        <f t="shared" ref="G30" si="4">$F$18</f>
        <v>250</v>
      </c>
      <c r="H30" s="26">
        <f t="shared" si="0"/>
        <v>0</v>
      </c>
      <c r="I30" s="27"/>
      <c r="J30" s="28"/>
      <c r="K30" s="25">
        <f t="shared" ref="K30:K38" si="5">$F$18</f>
        <v>250</v>
      </c>
      <c r="L30" s="26">
        <f t="shared" si="1"/>
        <v>0</v>
      </c>
      <c r="M30" s="27"/>
      <c r="N30" s="30">
        <f t="shared" si="2"/>
        <v>0</v>
      </c>
      <c r="O30" s="31" t="str">
        <f t="shared" si="3"/>
        <v/>
      </c>
      <c r="Q30" s="107"/>
      <c r="S30" s="107"/>
      <c r="U30" s="107"/>
      <c r="W30" s="107"/>
    </row>
    <row r="31" spans="2:23" x14ac:dyDescent="0.2">
      <c r="B31" s="21" t="s">
        <v>23</v>
      </c>
      <c r="C31" s="21"/>
      <c r="D31" s="22" t="s">
        <v>21</v>
      </c>
      <c r="E31" s="23"/>
      <c r="F31" s="50">
        <f>+'Res (100)'!F31</f>
        <v>-2.0000000000000002E-5</v>
      </c>
      <c r="G31" s="25">
        <f>$F$18</f>
        <v>250</v>
      </c>
      <c r="H31" s="26">
        <f t="shared" si="0"/>
        <v>-5.0000000000000001E-3</v>
      </c>
      <c r="I31" s="27"/>
      <c r="J31" s="52">
        <f>+'Res (100)'!J31</f>
        <v>0</v>
      </c>
      <c r="K31" s="25">
        <f t="shared" si="5"/>
        <v>250</v>
      </c>
      <c r="L31" s="26">
        <f t="shared" si="1"/>
        <v>0</v>
      </c>
      <c r="M31" s="27"/>
      <c r="N31" s="30">
        <f t="shared" si="2"/>
        <v>5.0000000000000001E-3</v>
      </c>
      <c r="O31" s="31">
        <f t="shared" si="3"/>
        <v>-1</v>
      </c>
      <c r="Q31" s="107"/>
      <c r="S31" s="107"/>
      <c r="U31" s="107"/>
      <c r="W31" s="107"/>
    </row>
    <row r="32" spans="2:23" x14ac:dyDescent="0.2">
      <c r="B32" s="33"/>
      <c r="C32" s="21"/>
      <c r="D32" s="22"/>
      <c r="E32" s="23"/>
      <c r="F32" s="24"/>
      <c r="G32" s="25">
        <f t="shared" ref="G32:G38" si="6">$F$18</f>
        <v>250</v>
      </c>
      <c r="H32" s="26">
        <f t="shared" si="0"/>
        <v>0</v>
      </c>
      <c r="I32" s="27"/>
      <c r="J32" s="28"/>
      <c r="K32" s="25">
        <f t="shared" si="5"/>
        <v>250</v>
      </c>
      <c r="L32" s="26">
        <f t="shared" si="1"/>
        <v>0</v>
      </c>
      <c r="M32" s="27"/>
      <c r="N32" s="30">
        <f t="shared" si="2"/>
        <v>0</v>
      </c>
      <c r="O32" s="31" t="str">
        <f t="shared" si="3"/>
        <v/>
      </c>
      <c r="Q32" s="107"/>
      <c r="S32" s="107"/>
      <c r="U32" s="107"/>
      <c r="W32" s="107"/>
    </row>
    <row r="33" spans="2:23" x14ac:dyDescent="0.2">
      <c r="B33" s="33"/>
      <c r="C33" s="21"/>
      <c r="D33" s="22"/>
      <c r="E33" s="23"/>
      <c r="F33" s="24"/>
      <c r="G33" s="25">
        <f t="shared" si="6"/>
        <v>250</v>
      </c>
      <c r="H33" s="26">
        <f t="shared" si="0"/>
        <v>0</v>
      </c>
      <c r="I33" s="27"/>
      <c r="J33" s="28"/>
      <c r="K33" s="25">
        <f t="shared" si="5"/>
        <v>250</v>
      </c>
      <c r="L33" s="26">
        <f t="shared" si="1"/>
        <v>0</v>
      </c>
      <c r="M33" s="27"/>
      <c r="N33" s="30">
        <f t="shared" si="2"/>
        <v>0</v>
      </c>
      <c r="O33" s="31" t="str">
        <f t="shared" si="3"/>
        <v/>
      </c>
      <c r="Q33" s="107"/>
      <c r="S33" s="107"/>
      <c r="U33" s="107"/>
      <c r="W33" s="107"/>
    </row>
    <row r="34" spans="2:23" x14ac:dyDescent="0.2">
      <c r="B34" s="33"/>
      <c r="C34" s="21"/>
      <c r="D34" s="22"/>
      <c r="E34" s="23"/>
      <c r="F34" s="24"/>
      <c r="G34" s="25">
        <f t="shared" si="6"/>
        <v>250</v>
      </c>
      <c r="H34" s="26">
        <f t="shared" si="0"/>
        <v>0</v>
      </c>
      <c r="I34" s="27"/>
      <c r="J34" s="28"/>
      <c r="K34" s="25">
        <f t="shared" si="5"/>
        <v>250</v>
      </c>
      <c r="L34" s="26">
        <f t="shared" si="1"/>
        <v>0</v>
      </c>
      <c r="M34" s="27"/>
      <c r="N34" s="30">
        <f t="shared" si="2"/>
        <v>0</v>
      </c>
      <c r="O34" s="31" t="str">
        <f t="shared" si="3"/>
        <v/>
      </c>
      <c r="Q34" s="107"/>
      <c r="S34" s="107"/>
      <c r="U34" s="107"/>
      <c r="W34" s="107"/>
    </row>
    <row r="35" spans="2:23" x14ac:dyDescent="0.2">
      <c r="B35" s="33"/>
      <c r="C35" s="21"/>
      <c r="D35" s="22"/>
      <c r="E35" s="23"/>
      <c r="F35" s="24"/>
      <c r="G35" s="25">
        <f t="shared" si="6"/>
        <v>250</v>
      </c>
      <c r="H35" s="26">
        <f t="shared" si="0"/>
        <v>0</v>
      </c>
      <c r="I35" s="27"/>
      <c r="J35" s="28"/>
      <c r="K35" s="25">
        <f t="shared" si="5"/>
        <v>250</v>
      </c>
      <c r="L35" s="26">
        <f t="shared" si="1"/>
        <v>0</v>
      </c>
      <c r="M35" s="27"/>
      <c r="N35" s="30">
        <f t="shared" si="2"/>
        <v>0</v>
      </c>
      <c r="O35" s="31" t="str">
        <f t="shared" si="3"/>
        <v/>
      </c>
      <c r="Q35" s="107"/>
      <c r="S35" s="107"/>
      <c r="U35" s="107"/>
      <c r="W35" s="107"/>
    </row>
    <row r="36" spans="2:23" x14ac:dyDescent="0.2">
      <c r="B36" s="33"/>
      <c r="C36" s="21"/>
      <c r="D36" s="22"/>
      <c r="E36" s="23"/>
      <c r="F36" s="24"/>
      <c r="G36" s="25">
        <f t="shared" si="6"/>
        <v>250</v>
      </c>
      <c r="H36" s="26">
        <f t="shared" si="0"/>
        <v>0</v>
      </c>
      <c r="I36" s="27"/>
      <c r="J36" s="28"/>
      <c r="K36" s="25">
        <f t="shared" si="5"/>
        <v>250</v>
      </c>
      <c r="L36" s="26">
        <f t="shared" si="1"/>
        <v>0</v>
      </c>
      <c r="M36" s="27"/>
      <c r="N36" s="30">
        <f t="shared" si="2"/>
        <v>0</v>
      </c>
      <c r="O36" s="31" t="str">
        <f t="shared" si="3"/>
        <v/>
      </c>
      <c r="Q36" s="107"/>
      <c r="S36" s="107"/>
      <c r="U36" s="107"/>
      <c r="W36" s="107"/>
    </row>
    <row r="37" spans="2:23" x14ac:dyDescent="0.2">
      <c r="B37" s="33"/>
      <c r="C37" s="21"/>
      <c r="D37" s="22"/>
      <c r="E37" s="23"/>
      <c r="F37" s="24"/>
      <c r="G37" s="25">
        <f t="shared" si="6"/>
        <v>250</v>
      </c>
      <c r="H37" s="26">
        <f t="shared" si="0"/>
        <v>0</v>
      </c>
      <c r="I37" s="27"/>
      <c r="J37" s="28"/>
      <c r="K37" s="25">
        <f t="shared" si="5"/>
        <v>250</v>
      </c>
      <c r="L37" s="26">
        <f t="shared" si="1"/>
        <v>0</v>
      </c>
      <c r="M37" s="27"/>
      <c r="N37" s="30">
        <f t="shared" si="2"/>
        <v>0</v>
      </c>
      <c r="O37" s="31" t="str">
        <f t="shared" si="3"/>
        <v/>
      </c>
      <c r="Q37" s="107"/>
      <c r="S37" s="107"/>
      <c r="U37" s="107"/>
      <c r="W37" s="107"/>
    </row>
    <row r="38" spans="2:23" x14ac:dyDescent="0.2">
      <c r="B38" s="33"/>
      <c r="C38" s="21"/>
      <c r="D38" s="22"/>
      <c r="E38" s="23"/>
      <c r="F38" s="24"/>
      <c r="G38" s="25">
        <f t="shared" si="6"/>
        <v>250</v>
      </c>
      <c r="H38" s="26">
        <f t="shared" si="0"/>
        <v>0</v>
      </c>
      <c r="I38" s="27"/>
      <c r="J38" s="28"/>
      <c r="K38" s="25">
        <f t="shared" si="5"/>
        <v>250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17.78</v>
      </c>
      <c r="I39" s="40"/>
      <c r="J39" s="41"/>
      <c r="K39" s="42"/>
      <c r="L39" s="39">
        <f>SUM(L23:L38)</f>
        <v>20.375</v>
      </c>
      <c r="M39" s="40"/>
      <c r="N39" s="43">
        <f t="shared" si="2"/>
        <v>2.5949999999999989</v>
      </c>
      <c r="O39" s="44">
        <f t="shared" si="3"/>
        <v>0.14595050618672659</v>
      </c>
      <c r="Q39" s="107"/>
      <c r="R39" s="211"/>
      <c r="S39" s="107"/>
      <c r="T39" s="211"/>
      <c r="U39" s="107"/>
      <c r="V39" s="211"/>
      <c r="W39" s="107"/>
    </row>
    <row r="40" spans="2:23" ht="38.25" x14ac:dyDescent="0.2">
      <c r="B40" s="46" t="str">
        <f>+'Res (100)'!B40</f>
        <v>Deferral/Variance Account Disposition Rate Rider Group 1</v>
      </c>
      <c r="C40" s="21"/>
      <c r="D40" s="22" t="s">
        <v>21</v>
      </c>
      <c r="E40" s="23"/>
      <c r="F40" s="24">
        <f>'Res (100)'!F40</f>
        <v>-8.2600000000000002E-4</v>
      </c>
      <c r="G40" s="25">
        <f>$F$18</f>
        <v>250</v>
      </c>
      <c r="H40" s="26">
        <f>G40*F40</f>
        <v>-0.20650000000000002</v>
      </c>
      <c r="I40" s="27"/>
      <c r="J40" s="28">
        <f>+'Res (100)'!J40</f>
        <v>-1E-4</v>
      </c>
      <c r="K40" s="25">
        <f>$F$18</f>
        <v>250</v>
      </c>
      <c r="L40" s="26">
        <f>K40*J40</f>
        <v>-2.5000000000000001E-2</v>
      </c>
      <c r="M40" s="27"/>
      <c r="N40" s="30">
        <f>L40-H40</f>
        <v>0.18150000000000002</v>
      </c>
      <c r="O40" s="31">
        <f>IF((H40)=0,"",(N40/H40))</f>
        <v>-0.87893462469733663</v>
      </c>
      <c r="Q40" s="107"/>
      <c r="S40" s="107"/>
      <c r="U40" s="107"/>
      <c r="W40" s="107"/>
    </row>
    <row r="41" spans="2:23" ht="38.25" x14ac:dyDescent="0.2">
      <c r="B41" s="46" t="str">
        <f>+'Res (100)'!B41</f>
        <v>Deferral/Variance Account Disposition Rate Rider Group 2</v>
      </c>
      <c r="C41" s="21"/>
      <c r="D41" s="22" t="s">
        <v>18</v>
      </c>
      <c r="E41" s="23"/>
      <c r="F41" s="24">
        <f>'Res (100)'!F41</f>
        <v>0.32</v>
      </c>
      <c r="G41" s="25">
        <v>1</v>
      </c>
      <c r="H41" s="26">
        <f t="shared" ref="H41:H45" si="7">G41*F41</f>
        <v>0.32</v>
      </c>
      <c r="I41" s="47"/>
      <c r="J41" s="28">
        <f>+'Res (100)'!J41</f>
        <v>0.02</v>
      </c>
      <c r="K41" s="25">
        <v>1</v>
      </c>
      <c r="L41" s="26">
        <f t="shared" ref="L41:L45" si="8">K41*J41</f>
        <v>0.02</v>
      </c>
      <c r="M41" s="48"/>
      <c r="N41" s="30">
        <f t="shared" ref="N41:N45" si="9">L41-H41</f>
        <v>-0.3</v>
      </c>
      <c r="O41" s="31">
        <f t="shared" ref="O41:O63" si="10">IF((H41)=0,"",(N41/H41))</f>
        <v>-0.9375</v>
      </c>
      <c r="Q41" s="107"/>
      <c r="S41" s="107"/>
      <c r="U41" s="107"/>
      <c r="W41" s="107"/>
    </row>
    <row r="42" spans="2:23" ht="38.25" x14ac:dyDescent="0.2">
      <c r="B42" s="154" t="s">
        <v>108</v>
      </c>
      <c r="C42" s="21"/>
      <c r="D42" s="22" t="s">
        <v>21</v>
      </c>
      <c r="E42" s="23"/>
      <c r="F42" s="24">
        <f>'Res (232)'!F42</f>
        <v>-1.5089999999999999E-3</v>
      </c>
      <c r="G42" s="25">
        <f t="shared" ref="G42:G43" si="11">$F$18</f>
        <v>250</v>
      </c>
      <c r="H42" s="26">
        <f t="shared" si="7"/>
        <v>-0.37724999999999997</v>
      </c>
      <c r="I42" s="47"/>
      <c r="J42" s="28">
        <f>+'Res (100)'!J42</f>
        <v>-2.3E-3</v>
      </c>
      <c r="K42" s="25">
        <f t="shared" ref="K42:K43" si="12">$F$18</f>
        <v>250</v>
      </c>
      <c r="L42" s="26">
        <f t="shared" si="8"/>
        <v>-0.57499999999999996</v>
      </c>
      <c r="M42" s="48"/>
      <c r="N42" s="30">
        <f t="shared" si="9"/>
        <v>-0.19774999999999998</v>
      </c>
      <c r="O42" s="31">
        <f t="shared" si="10"/>
        <v>0.52418820410868128</v>
      </c>
      <c r="Q42" s="107"/>
      <c r="S42" s="107"/>
      <c r="U42" s="107"/>
      <c r="W42" s="107"/>
    </row>
    <row r="43" spans="2:23" ht="38.25" x14ac:dyDescent="0.2">
      <c r="B43" s="46" t="s">
        <v>128</v>
      </c>
      <c r="C43" s="21"/>
      <c r="D43" s="22" t="s">
        <v>21</v>
      </c>
      <c r="E43" s="23"/>
      <c r="F43" s="24">
        <f>'Res (100)'!F43</f>
        <v>0</v>
      </c>
      <c r="G43" s="25">
        <f t="shared" si="11"/>
        <v>250</v>
      </c>
      <c r="H43" s="26">
        <f t="shared" si="7"/>
        <v>0</v>
      </c>
      <c r="I43" s="47"/>
      <c r="J43" s="233">
        <f>+'Res (100)'!J43</f>
        <v>2.7E-4</v>
      </c>
      <c r="K43" s="25">
        <f t="shared" si="12"/>
        <v>250</v>
      </c>
      <c r="L43" s="26">
        <f t="shared" si="8"/>
        <v>6.7500000000000004E-2</v>
      </c>
      <c r="M43" s="48"/>
      <c r="N43" s="30">
        <f t="shared" si="9"/>
        <v>6.7500000000000004E-2</v>
      </c>
      <c r="O43" s="31" t="str">
        <f t="shared" si="10"/>
        <v/>
      </c>
      <c r="Q43" s="107"/>
      <c r="S43" s="107"/>
      <c r="U43" s="107"/>
      <c r="W43" s="107"/>
    </row>
    <row r="44" spans="2:23" x14ac:dyDescent="0.2">
      <c r="B44" s="49" t="s">
        <v>26</v>
      </c>
      <c r="C44" s="21"/>
      <c r="D44" s="22" t="s">
        <v>21</v>
      </c>
      <c r="E44" s="23"/>
      <c r="F44" s="50">
        <f>'Res (100)'!F44</f>
        <v>6.9999999999999994E-5</v>
      </c>
      <c r="G44" s="51">
        <f>$F$18*(1+F70)</f>
        <v>258.375</v>
      </c>
      <c r="H44" s="26">
        <f>G44*F44</f>
        <v>1.8086249999999998E-2</v>
      </c>
      <c r="I44" s="27"/>
      <c r="J44" s="52">
        <f>'Res (100)'!J44</f>
        <v>6.9999999999999994E-5</v>
      </c>
      <c r="K44" s="51">
        <f>$F$18*(1+J70)</f>
        <v>258.375</v>
      </c>
      <c r="L44" s="26">
        <f>K44*J44</f>
        <v>1.8086249999999998E-2</v>
      </c>
      <c r="M44" s="27"/>
      <c r="N44" s="30">
        <f>L44-H44</f>
        <v>0</v>
      </c>
      <c r="O44" s="31">
        <f>IF((H44)=0,"",(N44/H44))</f>
        <v>0</v>
      </c>
      <c r="Q44" s="107"/>
      <c r="S44" s="107"/>
      <c r="U44" s="107"/>
      <c r="W44" s="107"/>
    </row>
    <row r="45" spans="2:23" x14ac:dyDescent="0.2">
      <c r="B45" s="49" t="s">
        <v>27</v>
      </c>
      <c r="C45" s="21"/>
      <c r="D45" s="22"/>
      <c r="E45" s="23"/>
      <c r="F45" s="53">
        <f>IF(ISBLANK(D16)=TRUE, 0, IF(D16="TOU", 0.65*$F$55+0.17*$F$56+0.18*$F$57, IF(AND(D16="non-TOU", G59&gt;0), F59,F58)))</f>
        <v>0.11139</v>
      </c>
      <c r="G45" s="54">
        <f>$F$18*(1+$F$70)-$F$18</f>
        <v>8.375</v>
      </c>
      <c r="H45" s="26">
        <f t="shared" si="7"/>
        <v>0.93289125000000006</v>
      </c>
      <c r="I45" s="27"/>
      <c r="J45" s="55">
        <f>0.65*$J$55+0.17*$J$56+0.18*$J$57</f>
        <v>0.11139</v>
      </c>
      <c r="K45" s="54">
        <f>$F$18*(1+$J$70)-$F$18</f>
        <v>8.375</v>
      </c>
      <c r="L45" s="26">
        <f t="shared" si="8"/>
        <v>0.93289125000000006</v>
      </c>
      <c r="M45" s="27"/>
      <c r="N45" s="30">
        <f t="shared" si="9"/>
        <v>0</v>
      </c>
      <c r="O45" s="31">
        <f t="shared" si="10"/>
        <v>0</v>
      </c>
      <c r="Q45" s="107"/>
      <c r="S45" s="107"/>
      <c r="U45" s="107"/>
      <c r="W45" s="107"/>
    </row>
    <row r="46" spans="2:23" x14ac:dyDescent="0.2">
      <c r="B46" s="49" t="s">
        <v>28</v>
      </c>
      <c r="C46" s="21"/>
      <c r="D46" s="22" t="s">
        <v>18</v>
      </c>
      <c r="E46" s="23"/>
      <c r="F46" s="53">
        <f>'Res (100)'!F46</f>
        <v>0.79</v>
      </c>
      <c r="G46" s="25">
        <v>1</v>
      </c>
      <c r="H46" s="26">
        <f>G46*F46</f>
        <v>0.79</v>
      </c>
      <c r="I46" s="27"/>
      <c r="J46" s="53">
        <f>'Res (100)'!J46</f>
        <v>0.79</v>
      </c>
      <c r="K46" s="25">
        <v>1</v>
      </c>
      <c r="L46" s="26">
        <f>K46*J46</f>
        <v>0.79</v>
      </c>
      <c r="M46" s="27"/>
      <c r="N46" s="30">
        <f>L46-H46</f>
        <v>0</v>
      </c>
      <c r="O46" s="31">
        <f t="shared" si="10"/>
        <v>0</v>
      </c>
      <c r="Q46" s="107"/>
      <c r="S46" s="107"/>
      <c r="U46" s="107"/>
      <c r="W46" s="107"/>
    </row>
    <row r="47" spans="2:23" ht="25.5" x14ac:dyDescent="0.2">
      <c r="B47" s="56" t="s">
        <v>29</v>
      </c>
      <c r="C47" s="57"/>
      <c r="D47" s="57"/>
      <c r="E47" s="57"/>
      <c r="F47" s="58"/>
      <c r="G47" s="59"/>
      <c r="H47" s="60">
        <f>SUM(H40:H46)+H39</f>
        <v>19.257227500000003</v>
      </c>
      <c r="I47" s="40"/>
      <c r="J47" s="59"/>
      <c r="K47" s="61"/>
      <c r="L47" s="60">
        <f>SUM(L40:L46)+L39</f>
        <v>21.6034775</v>
      </c>
      <c r="M47" s="40"/>
      <c r="N47" s="43">
        <f t="shared" ref="N47:N63" si="13">L47-H47</f>
        <v>2.3462499999999977</v>
      </c>
      <c r="O47" s="44">
        <f t="shared" si="10"/>
        <v>0.12183737248780996</v>
      </c>
      <c r="Q47" s="107"/>
      <c r="S47" s="107"/>
      <c r="U47" s="107"/>
      <c r="W47" s="107"/>
    </row>
    <row r="48" spans="2:23" x14ac:dyDescent="0.2">
      <c r="B48" s="27" t="s">
        <v>30</v>
      </c>
      <c r="C48" s="27"/>
      <c r="D48" s="62" t="s">
        <v>21</v>
      </c>
      <c r="E48" s="63"/>
      <c r="F48" s="28">
        <f>'Res (100)'!F48</f>
        <v>7.6E-3</v>
      </c>
      <c r="G48" s="64">
        <f>F18*(1+F70)</f>
        <v>258.375</v>
      </c>
      <c r="H48" s="26">
        <f>G48*F48</f>
        <v>1.9636499999999999</v>
      </c>
      <c r="I48" s="27"/>
      <c r="J48" s="28">
        <f>'Res (100)'!J48</f>
        <v>7.4000000000000003E-3</v>
      </c>
      <c r="K48" s="65">
        <f>F18*(1+J70)</f>
        <v>258.375</v>
      </c>
      <c r="L48" s="26">
        <f>K48*J48</f>
        <v>1.911975</v>
      </c>
      <c r="M48" s="27"/>
      <c r="N48" s="30">
        <f t="shared" si="13"/>
        <v>-5.1674999999999915E-2</v>
      </c>
      <c r="O48" s="31">
        <f t="shared" si="10"/>
        <v>-2.6315789473684167E-2</v>
      </c>
      <c r="Q48" s="107"/>
      <c r="S48" s="107"/>
      <c r="U48" s="107"/>
      <c r="W48" s="107"/>
    </row>
    <row r="49" spans="2:23" ht="25.5" x14ac:dyDescent="0.2">
      <c r="B49" s="66" t="s">
        <v>31</v>
      </c>
      <c r="C49" s="27"/>
      <c r="D49" s="62" t="s">
        <v>21</v>
      </c>
      <c r="E49" s="63"/>
      <c r="F49" s="28">
        <f>'Res (100)'!F49</f>
        <v>4.7000000000000002E-3</v>
      </c>
      <c r="G49" s="64">
        <f>G48</f>
        <v>258.375</v>
      </c>
      <c r="H49" s="26">
        <f>G49*F49</f>
        <v>1.2143625</v>
      </c>
      <c r="I49" s="27"/>
      <c r="J49" s="28">
        <f>'Res (100)'!J49</f>
        <v>4.7000000000000002E-3</v>
      </c>
      <c r="K49" s="65">
        <f>K48</f>
        <v>258.375</v>
      </c>
      <c r="L49" s="26">
        <f>K49*J49</f>
        <v>1.2143625</v>
      </c>
      <c r="M49" s="27"/>
      <c r="N49" s="30">
        <f t="shared" si="13"/>
        <v>0</v>
      </c>
      <c r="O49" s="31">
        <f t="shared" si="10"/>
        <v>0</v>
      </c>
      <c r="Q49" s="107"/>
      <c r="S49" s="107"/>
      <c r="U49" s="107"/>
      <c r="W49" s="107"/>
    </row>
    <row r="50" spans="2:23" ht="25.5" x14ac:dyDescent="0.2">
      <c r="B50" s="56" t="s">
        <v>32</v>
      </c>
      <c r="C50" s="35"/>
      <c r="D50" s="35"/>
      <c r="E50" s="35"/>
      <c r="F50" s="67"/>
      <c r="G50" s="59"/>
      <c r="H50" s="60">
        <f>SUM(H47:H49)</f>
        <v>22.435240000000004</v>
      </c>
      <c r="I50" s="68"/>
      <c r="J50" s="69"/>
      <c r="K50" s="70"/>
      <c r="L50" s="60">
        <f>SUM(L47:L49)</f>
        <v>24.729815000000002</v>
      </c>
      <c r="M50" s="68"/>
      <c r="N50" s="43">
        <f t="shared" si="13"/>
        <v>2.2945749999999983</v>
      </c>
      <c r="O50" s="44">
        <f t="shared" si="10"/>
        <v>0.10227548267814375</v>
      </c>
      <c r="Q50" s="102"/>
      <c r="S50" s="102"/>
      <c r="U50" s="102"/>
      <c r="W50" s="102"/>
    </row>
    <row r="51" spans="2:23" ht="25.5" x14ac:dyDescent="0.2">
      <c r="B51" s="71" t="s">
        <v>33</v>
      </c>
      <c r="C51" s="21"/>
      <c r="D51" s="22" t="s">
        <v>21</v>
      </c>
      <c r="E51" s="23"/>
      <c r="F51" s="72">
        <f>'Res (100)'!F51</f>
        <v>3.5999999999999999E-3</v>
      </c>
      <c r="G51" s="64">
        <f>G49</f>
        <v>258.375</v>
      </c>
      <c r="H51" s="73">
        <f t="shared" ref="H51:H57" si="14">G51*F51</f>
        <v>0.93014999999999992</v>
      </c>
      <c r="I51" s="27"/>
      <c r="J51" s="72">
        <f>F51</f>
        <v>3.5999999999999999E-3</v>
      </c>
      <c r="K51" s="65">
        <f>K49</f>
        <v>258.375</v>
      </c>
      <c r="L51" s="73">
        <f t="shared" ref="L51:L57" si="15">K51*J51</f>
        <v>0.93014999999999992</v>
      </c>
      <c r="M51" s="27"/>
      <c r="N51" s="30">
        <f t="shared" si="13"/>
        <v>0</v>
      </c>
      <c r="O51" s="74">
        <f t="shared" si="10"/>
        <v>0</v>
      </c>
      <c r="Q51" s="107"/>
      <c r="S51" s="107"/>
      <c r="U51" s="107"/>
      <c r="W51" s="107"/>
    </row>
    <row r="52" spans="2:23" ht="25.5" x14ac:dyDescent="0.2">
      <c r="B52" s="71" t="s">
        <v>34</v>
      </c>
      <c r="C52" s="21"/>
      <c r="D52" s="22" t="s">
        <v>21</v>
      </c>
      <c r="E52" s="23"/>
      <c r="F52" s="72">
        <f>'Res (100)'!F52</f>
        <v>1.2999999999999999E-3</v>
      </c>
      <c r="G52" s="64">
        <f>G49</f>
        <v>258.375</v>
      </c>
      <c r="H52" s="73">
        <f t="shared" si="14"/>
        <v>0.33588750000000001</v>
      </c>
      <c r="I52" s="27"/>
      <c r="J52" s="72">
        <f>F52</f>
        <v>1.2999999999999999E-3</v>
      </c>
      <c r="K52" s="65">
        <f>K49</f>
        <v>258.375</v>
      </c>
      <c r="L52" s="73">
        <f t="shared" si="15"/>
        <v>0.33588750000000001</v>
      </c>
      <c r="M52" s="27"/>
      <c r="N52" s="30">
        <f t="shared" si="13"/>
        <v>0</v>
      </c>
      <c r="O52" s="74">
        <f t="shared" si="10"/>
        <v>0</v>
      </c>
      <c r="Q52" s="107"/>
      <c r="S52" s="107"/>
      <c r="U52" s="107"/>
      <c r="W52" s="107"/>
    </row>
    <row r="53" spans="2:23" x14ac:dyDescent="0.2">
      <c r="B53" s="21" t="s">
        <v>35</v>
      </c>
      <c r="C53" s="21"/>
      <c r="D53" s="22" t="s">
        <v>18</v>
      </c>
      <c r="E53" s="23"/>
      <c r="F53" s="72">
        <f>'Proposed Rates'!D196</f>
        <v>0.25</v>
      </c>
      <c r="G53" s="25">
        <v>1</v>
      </c>
      <c r="H53" s="73">
        <f t="shared" si="14"/>
        <v>0.25</v>
      </c>
      <c r="I53" s="27"/>
      <c r="J53" s="72">
        <f>'Proposed Rates'!E196</f>
        <v>0.25</v>
      </c>
      <c r="K53" s="29">
        <v>1</v>
      </c>
      <c r="L53" s="73">
        <f t="shared" si="15"/>
        <v>0.25</v>
      </c>
      <c r="M53" s="27"/>
      <c r="N53" s="30">
        <f t="shared" si="13"/>
        <v>0</v>
      </c>
      <c r="O53" s="74">
        <f t="shared" si="10"/>
        <v>0</v>
      </c>
      <c r="Q53" s="107"/>
      <c r="S53" s="107"/>
      <c r="U53" s="107"/>
      <c r="W53" s="107"/>
    </row>
    <row r="54" spans="2:23" x14ac:dyDescent="0.2">
      <c r="B54" s="21" t="s">
        <v>122</v>
      </c>
      <c r="C54" s="21"/>
      <c r="D54" s="22"/>
      <c r="E54" s="23"/>
      <c r="F54" s="72">
        <f>'Res (100)'!F54</f>
        <v>1.1000000000000001E-3</v>
      </c>
      <c r="G54" s="64">
        <f>F18*(1+F70)</f>
        <v>258.375</v>
      </c>
      <c r="H54" s="73">
        <f>G54*F54</f>
        <v>0.28421250000000003</v>
      </c>
      <c r="I54" s="27"/>
      <c r="J54" s="72">
        <f>'Res (100)'!J54</f>
        <v>1.1000000000000001E-3</v>
      </c>
      <c r="K54" s="64">
        <f>F18*(1+J70)</f>
        <v>258.375</v>
      </c>
      <c r="L54" s="73">
        <f>K54*J54</f>
        <v>0.28421250000000003</v>
      </c>
      <c r="M54" s="27"/>
      <c r="N54" s="30">
        <f>L54-H54</f>
        <v>0</v>
      </c>
      <c r="O54" s="74">
        <f t="shared" si="10"/>
        <v>0</v>
      </c>
      <c r="Q54" s="107"/>
      <c r="S54" s="107"/>
      <c r="U54" s="107"/>
      <c r="W54" s="107"/>
    </row>
    <row r="55" spans="2:23" x14ac:dyDescent="0.2">
      <c r="B55" s="49" t="s">
        <v>37</v>
      </c>
      <c r="C55" s="21"/>
      <c r="D55" s="22"/>
      <c r="E55" s="23"/>
      <c r="F55" s="72">
        <f>'Res (100)'!F55</f>
        <v>8.6999999999999994E-2</v>
      </c>
      <c r="G55" s="77">
        <f>0.65*$F$18</f>
        <v>162.5</v>
      </c>
      <c r="H55" s="73">
        <f t="shared" si="14"/>
        <v>14.137499999999999</v>
      </c>
      <c r="I55" s="27"/>
      <c r="J55" s="72">
        <f>F55</f>
        <v>8.6999999999999994E-2</v>
      </c>
      <c r="K55" s="77">
        <f>$G$55</f>
        <v>162.5</v>
      </c>
      <c r="L55" s="73">
        <f t="shared" si="15"/>
        <v>14.137499999999999</v>
      </c>
      <c r="M55" s="27"/>
      <c r="N55" s="30">
        <f t="shared" si="13"/>
        <v>0</v>
      </c>
      <c r="O55" s="74">
        <f t="shared" si="10"/>
        <v>0</v>
      </c>
      <c r="Q55" s="107"/>
      <c r="S55" s="107"/>
      <c r="U55" s="107"/>
      <c r="W55" s="107"/>
    </row>
    <row r="56" spans="2:23" x14ac:dyDescent="0.2">
      <c r="B56" s="49" t="s">
        <v>38</v>
      </c>
      <c r="C56" s="21"/>
      <c r="D56" s="22"/>
      <c r="E56" s="23"/>
      <c r="F56" s="72">
        <f>'Res (100)'!F56</f>
        <v>0.13200000000000001</v>
      </c>
      <c r="G56" s="77">
        <f>0.17*$F$18</f>
        <v>42.5</v>
      </c>
      <c r="H56" s="73">
        <f t="shared" si="14"/>
        <v>5.61</v>
      </c>
      <c r="I56" s="27"/>
      <c r="J56" s="72">
        <f>F56</f>
        <v>0.13200000000000001</v>
      </c>
      <c r="K56" s="77">
        <f>$G$56</f>
        <v>42.5</v>
      </c>
      <c r="L56" s="73">
        <f t="shared" si="15"/>
        <v>5.61</v>
      </c>
      <c r="M56" s="27"/>
      <c r="N56" s="30">
        <f t="shared" si="13"/>
        <v>0</v>
      </c>
      <c r="O56" s="74">
        <f t="shared" si="10"/>
        <v>0</v>
      </c>
      <c r="Q56" s="107"/>
      <c r="S56" s="107"/>
      <c r="U56" s="107"/>
      <c r="W56" s="107"/>
    </row>
    <row r="57" spans="2:23" x14ac:dyDescent="0.2">
      <c r="B57" s="11" t="s">
        <v>39</v>
      </c>
      <c r="C57" s="21"/>
      <c r="D57" s="22"/>
      <c r="E57" s="23"/>
      <c r="F57" s="72">
        <f>'Res (100)'!F57</f>
        <v>0.18</v>
      </c>
      <c r="G57" s="77">
        <f>0.18*$F$18</f>
        <v>45</v>
      </c>
      <c r="H57" s="73">
        <f t="shared" si="14"/>
        <v>8.1</v>
      </c>
      <c r="I57" s="27"/>
      <c r="J57" s="72">
        <f>F57</f>
        <v>0.18</v>
      </c>
      <c r="K57" s="77">
        <f>$G$57</f>
        <v>45</v>
      </c>
      <c r="L57" s="73">
        <f t="shared" si="15"/>
        <v>8.1</v>
      </c>
      <c r="M57" s="27"/>
      <c r="N57" s="30">
        <f t="shared" si="13"/>
        <v>0</v>
      </c>
      <c r="O57" s="74">
        <f t="shared" si="10"/>
        <v>0</v>
      </c>
      <c r="Q57" s="107"/>
      <c r="S57" s="107"/>
      <c r="U57" s="107"/>
      <c r="W57" s="107"/>
    </row>
    <row r="58" spans="2:23" s="85" customFormat="1" x14ac:dyDescent="0.2">
      <c r="B58" s="78" t="s">
        <v>40</v>
      </c>
      <c r="C58" s="79"/>
      <c r="D58" s="80"/>
      <c r="E58" s="81"/>
      <c r="F58" s="72">
        <f>'Res (100)'!F58</f>
        <v>0.10299999999999999</v>
      </c>
      <c r="G58" s="82">
        <f>IF(AND($Q$1=1, F18&gt;=600), 600, IF(AND($Q$1=1, AND(F18&lt;600, F18&gt;=0)), F18, IF(AND($Q$1=2, F18&gt;=1000), 1000, IF(AND($Q$1=2, AND(F18&lt;1000, F18&gt;=0)), F18))))</f>
        <v>250</v>
      </c>
      <c r="H58" s="73">
        <f>G58*F58</f>
        <v>25.75</v>
      </c>
      <c r="I58" s="83"/>
      <c r="J58" s="72">
        <f>F58</f>
        <v>0.10299999999999999</v>
      </c>
      <c r="K58" s="82">
        <f>$G$58</f>
        <v>250</v>
      </c>
      <c r="L58" s="73">
        <f>K58*J58</f>
        <v>25.75</v>
      </c>
      <c r="M58" s="83"/>
      <c r="N58" s="84">
        <f t="shared" si="13"/>
        <v>0</v>
      </c>
      <c r="O58" s="74">
        <f t="shared" si="10"/>
        <v>0</v>
      </c>
      <c r="Q58" s="143"/>
      <c r="R58" s="212"/>
      <c r="S58" s="143"/>
      <c r="T58" s="212"/>
      <c r="U58" s="143"/>
      <c r="V58" s="212"/>
      <c r="W58" s="143"/>
    </row>
    <row r="59" spans="2:23" s="85" customFormat="1" ht="13.5" thickBot="1" x14ac:dyDescent="0.25">
      <c r="B59" s="78" t="s">
        <v>41</v>
      </c>
      <c r="C59" s="79"/>
      <c r="D59" s="80"/>
      <c r="E59" s="81"/>
      <c r="F59" s="72">
        <f>'Res (100)'!F59</f>
        <v>0.121</v>
      </c>
      <c r="G59" s="82">
        <f>IF(AND($Q$1=1, F18&gt;=600), F18-600, IF(AND($Q$1=1, AND(F18&lt;600, F18&gt;=0)), 0, IF(AND($Q$1=2, F18&gt;=1000), F18-1000, IF(AND($Q$1=2, AND(F18&lt;1000, F18&gt;=0)), 0))))</f>
        <v>0</v>
      </c>
      <c r="H59" s="73">
        <f>G59*F59</f>
        <v>0</v>
      </c>
      <c r="I59" s="83"/>
      <c r="J59" s="72">
        <f>F59</f>
        <v>0.121</v>
      </c>
      <c r="K59" s="82">
        <f>$G$59</f>
        <v>0</v>
      </c>
      <c r="L59" s="73">
        <f>K59*J59</f>
        <v>0</v>
      </c>
      <c r="M59" s="83"/>
      <c r="N59" s="84">
        <f t="shared" si="13"/>
        <v>0</v>
      </c>
      <c r="O59" s="74" t="str">
        <f t="shared" si="10"/>
        <v/>
      </c>
      <c r="Q59" s="143"/>
      <c r="R59" s="212"/>
      <c r="S59" s="143"/>
      <c r="T59" s="212"/>
      <c r="U59" s="143"/>
      <c r="V59" s="212"/>
      <c r="W59" s="143"/>
    </row>
    <row r="60" spans="2:23" ht="8.25" customHeight="1" thickBot="1" x14ac:dyDescent="0.25">
      <c r="B60" s="86"/>
      <c r="C60" s="87"/>
      <c r="D60" s="88"/>
      <c r="E60" s="87"/>
      <c r="F60" s="89"/>
      <c r="G60" s="90"/>
      <c r="H60" s="91"/>
      <c r="I60" s="92"/>
      <c r="J60" s="89"/>
      <c r="K60" s="93"/>
      <c r="L60" s="91"/>
      <c r="M60" s="92"/>
      <c r="N60" s="94"/>
      <c r="O60" s="95"/>
      <c r="Q60" s="107"/>
      <c r="S60" s="107"/>
      <c r="U60" s="107"/>
      <c r="W60" s="107"/>
    </row>
    <row r="61" spans="2:23" x14ac:dyDescent="0.2">
      <c r="B61" s="96" t="s">
        <v>42</v>
      </c>
      <c r="C61" s="21"/>
      <c r="D61" s="21"/>
      <c r="E61" s="21"/>
      <c r="F61" s="97"/>
      <c r="G61" s="98"/>
      <c r="H61" s="99">
        <f>SUM(H51:H57,H50)</f>
        <v>52.082990000000009</v>
      </c>
      <c r="I61" s="100"/>
      <c r="J61" s="101"/>
      <c r="K61" s="101"/>
      <c r="L61" s="99">
        <f>SUM(L51:L57,L50)</f>
        <v>54.377565000000004</v>
      </c>
      <c r="M61" s="102"/>
      <c r="N61" s="103">
        <f t="shared" ref="N61" si="16">L61-H61</f>
        <v>2.2945749999999947</v>
      </c>
      <c r="O61" s="104">
        <f t="shared" ref="O61" si="17">IF((H61)=0,"",(N61/H61))</f>
        <v>4.4056130418011603E-2</v>
      </c>
      <c r="Q61" s="102"/>
      <c r="S61" s="102"/>
      <c r="U61" s="102"/>
      <c r="W61" s="102"/>
    </row>
    <row r="62" spans="2:23" x14ac:dyDescent="0.2">
      <c r="B62" s="105" t="s">
        <v>43</v>
      </c>
      <c r="C62" s="21"/>
      <c r="D62" s="21"/>
      <c r="E62" s="21"/>
      <c r="F62" s="106">
        <v>0.13</v>
      </c>
      <c r="G62" s="107"/>
      <c r="H62" s="108">
        <f>H61*F62</f>
        <v>6.7707887000000015</v>
      </c>
      <c r="I62" s="109"/>
      <c r="J62" s="110">
        <v>0.13</v>
      </c>
      <c r="K62" s="109"/>
      <c r="L62" s="111">
        <f>L61*J62</f>
        <v>7.0690834500000008</v>
      </c>
      <c r="M62" s="112"/>
      <c r="N62" s="113">
        <f t="shared" si="13"/>
        <v>0.29829474999999928</v>
      </c>
      <c r="O62" s="114">
        <f t="shared" si="10"/>
        <v>4.4056130418011596E-2</v>
      </c>
      <c r="Q62" s="112"/>
      <c r="S62" s="112"/>
      <c r="U62" s="112"/>
      <c r="W62" s="112"/>
    </row>
    <row r="63" spans="2:23" ht="13.5" thickBot="1" x14ac:dyDescent="0.25">
      <c r="B63" s="115" t="s">
        <v>44</v>
      </c>
      <c r="C63" s="21"/>
      <c r="D63" s="21"/>
      <c r="E63" s="21"/>
      <c r="F63" s="116"/>
      <c r="G63" s="107"/>
      <c r="H63" s="99">
        <f>H61+H62</f>
        <v>58.853778700000014</v>
      </c>
      <c r="I63" s="109"/>
      <c r="J63" s="109"/>
      <c r="K63" s="109"/>
      <c r="L63" s="220">
        <f>L61+L62</f>
        <v>61.446648450000005</v>
      </c>
      <c r="M63" s="112"/>
      <c r="N63" s="103">
        <f t="shared" si="13"/>
        <v>2.5928697499999913</v>
      </c>
      <c r="O63" s="104">
        <f t="shared" si="10"/>
        <v>4.4056130418011555E-2</v>
      </c>
      <c r="Q63" s="112"/>
      <c r="S63" s="112"/>
      <c r="U63" s="112"/>
      <c r="W63" s="112"/>
    </row>
    <row r="64" spans="2:23" s="85" customFormat="1" ht="8.25" customHeight="1" thickBot="1" x14ac:dyDescent="0.25">
      <c r="B64" s="117"/>
      <c r="C64" s="118"/>
      <c r="D64" s="119"/>
      <c r="E64" s="118"/>
      <c r="F64" s="89"/>
      <c r="G64" s="120"/>
      <c r="H64" s="91"/>
      <c r="I64" s="121"/>
      <c r="J64" s="89"/>
      <c r="K64" s="122"/>
      <c r="L64" s="91"/>
      <c r="M64" s="121"/>
      <c r="N64" s="123"/>
      <c r="O64" s="95"/>
      <c r="Q64" s="143"/>
      <c r="R64" s="212"/>
      <c r="S64" s="143"/>
      <c r="T64" s="212"/>
      <c r="U64" s="143"/>
      <c r="V64" s="212"/>
      <c r="W64" s="143"/>
    </row>
    <row r="65" spans="1:23" s="85" customFormat="1" x14ac:dyDescent="0.2">
      <c r="B65" s="124" t="s">
        <v>45</v>
      </c>
      <c r="C65" s="79"/>
      <c r="D65" s="79"/>
      <c r="E65" s="79"/>
      <c r="F65" s="125"/>
      <c r="G65" s="126"/>
      <c r="H65" s="127">
        <f>SUM(H58:H59,H50,H51:H54)</f>
        <v>49.985490000000006</v>
      </c>
      <c r="I65" s="128"/>
      <c r="J65" s="129"/>
      <c r="K65" s="129"/>
      <c r="L65" s="127">
        <f>SUM(L58:L59,L50,L51:L54)</f>
        <v>52.280065</v>
      </c>
      <c r="M65" s="130"/>
      <c r="N65" s="131">
        <f t="shared" ref="N65:N67" si="18">L65-H65</f>
        <v>2.2945749999999947</v>
      </c>
      <c r="O65" s="104">
        <f t="shared" ref="O65:O67" si="19">IF((H65)=0,"",(N65/H65))</f>
        <v>4.5904821579222176E-2</v>
      </c>
      <c r="Q65" s="130"/>
      <c r="R65" s="212"/>
      <c r="S65" s="130"/>
      <c r="T65" s="212"/>
      <c r="U65" s="130"/>
      <c r="V65" s="212"/>
      <c r="W65" s="130"/>
    </row>
    <row r="66" spans="1:23" s="85" customFormat="1" x14ac:dyDescent="0.2">
      <c r="B66" s="132" t="s">
        <v>43</v>
      </c>
      <c r="C66" s="79"/>
      <c r="D66" s="79"/>
      <c r="E66" s="79"/>
      <c r="F66" s="133">
        <v>0.13</v>
      </c>
      <c r="G66" s="126"/>
      <c r="H66" s="134">
        <f>H65*F66</f>
        <v>6.4981137000000011</v>
      </c>
      <c r="I66" s="135"/>
      <c r="J66" s="136">
        <v>0.13</v>
      </c>
      <c r="K66" s="137"/>
      <c r="L66" s="138">
        <f>L65*J66</f>
        <v>6.7964084500000004</v>
      </c>
      <c r="M66" s="139"/>
      <c r="N66" s="140">
        <f t="shared" si="18"/>
        <v>0.29829474999999928</v>
      </c>
      <c r="O66" s="114">
        <f t="shared" si="19"/>
        <v>4.5904821579222169E-2</v>
      </c>
      <c r="Q66" s="139"/>
      <c r="R66" s="212"/>
      <c r="S66" s="139"/>
      <c r="T66" s="212"/>
      <c r="U66" s="139"/>
      <c r="V66" s="212"/>
      <c r="W66" s="139"/>
    </row>
    <row r="67" spans="1:23" s="85" customFormat="1" ht="13.5" thickBot="1" x14ac:dyDescent="0.25">
      <c r="B67" s="141" t="s">
        <v>44</v>
      </c>
      <c r="C67" s="79"/>
      <c r="D67" s="79"/>
      <c r="E67" s="79"/>
      <c r="F67" s="142"/>
      <c r="G67" s="143"/>
      <c r="H67" s="127">
        <f>H65+H66</f>
        <v>56.483603700000003</v>
      </c>
      <c r="I67" s="135"/>
      <c r="J67" s="135"/>
      <c r="K67" s="135"/>
      <c r="L67" s="219">
        <f>L65+L66</f>
        <v>59.076473450000002</v>
      </c>
      <c r="M67" s="139"/>
      <c r="N67" s="131">
        <f t="shared" si="18"/>
        <v>2.5928697499999984</v>
      </c>
      <c r="O67" s="104">
        <f t="shared" si="19"/>
        <v>4.5904821579222259E-2</v>
      </c>
      <c r="Q67" s="139"/>
      <c r="R67" s="212"/>
      <c r="S67" s="139"/>
      <c r="T67" s="212"/>
      <c r="U67" s="139"/>
      <c r="V67" s="212"/>
      <c r="W67" s="139"/>
    </row>
    <row r="68" spans="1:23" s="85" customFormat="1" ht="8.25" customHeight="1" thickBot="1" x14ac:dyDescent="0.25">
      <c r="B68" s="117"/>
      <c r="C68" s="118"/>
      <c r="D68" s="119"/>
      <c r="E68" s="118"/>
      <c r="F68" s="144"/>
      <c r="G68" s="145"/>
      <c r="H68" s="146"/>
      <c r="I68" s="147"/>
      <c r="J68" s="144"/>
      <c r="K68" s="120"/>
      <c r="L68" s="148"/>
      <c r="M68" s="121"/>
      <c r="N68" s="149"/>
      <c r="O68" s="95"/>
      <c r="Q68" s="143"/>
      <c r="R68" s="212"/>
      <c r="S68" s="143"/>
      <c r="T68" s="212"/>
      <c r="U68" s="143"/>
      <c r="V68" s="212"/>
      <c r="W68" s="143"/>
    </row>
    <row r="69" spans="1:23" x14ac:dyDescent="0.2">
      <c r="L69" s="150"/>
    </row>
    <row r="70" spans="1:23" x14ac:dyDescent="0.2">
      <c r="B70" s="12" t="s">
        <v>46</v>
      </c>
      <c r="F70" s="151">
        <f>'Res (100)'!F70</f>
        <v>3.3500000000000002E-2</v>
      </c>
      <c r="J70" s="151">
        <f>+'Res (100)'!J70</f>
        <v>3.3500000000000002E-2</v>
      </c>
    </row>
    <row r="72" spans="1:23" ht="13.5" customHeight="1" x14ac:dyDescent="0.2">
      <c r="Q72" s="210"/>
      <c r="R72" s="210"/>
      <c r="S72" s="6"/>
      <c r="T72" s="6"/>
      <c r="U72" s="6"/>
      <c r="V72" s="6"/>
      <c r="W72" s="6"/>
    </row>
    <row r="73" spans="1:23" ht="12" customHeight="1" x14ac:dyDescent="0.2">
      <c r="A73" s="6" t="s">
        <v>47</v>
      </c>
      <c r="Q73" s="210"/>
      <c r="R73" s="210"/>
      <c r="S73" s="6"/>
      <c r="T73" s="6"/>
      <c r="U73" s="6"/>
      <c r="V73" s="6"/>
      <c r="W73" s="6"/>
    </row>
    <row r="74" spans="1:23" x14ac:dyDescent="0.2">
      <c r="A74" s="6" t="s">
        <v>48</v>
      </c>
      <c r="Q74" s="210"/>
      <c r="R74" s="210"/>
      <c r="S74" s="6"/>
      <c r="T74" s="6"/>
      <c r="U74" s="6"/>
      <c r="V74" s="6"/>
      <c r="W74" s="6"/>
    </row>
    <row r="75" spans="1:23" x14ac:dyDescent="0.2">
      <c r="Q75" s="210"/>
      <c r="R75" s="210"/>
      <c r="S75" s="6"/>
      <c r="T75" s="6"/>
      <c r="U75" s="6"/>
      <c r="V75" s="6"/>
      <c r="W75" s="6"/>
    </row>
    <row r="76" spans="1:23" x14ac:dyDescent="0.2">
      <c r="A76" s="153" t="s">
        <v>136</v>
      </c>
      <c r="Q76" s="210"/>
      <c r="R76" s="210"/>
      <c r="S76" s="6"/>
      <c r="T76" s="6"/>
      <c r="U76" s="6"/>
      <c r="V76" s="6"/>
      <c r="W76" s="6"/>
    </row>
    <row r="77" spans="1:23" x14ac:dyDescent="0.2">
      <c r="A77" s="11" t="s">
        <v>49</v>
      </c>
      <c r="Q77" s="210"/>
      <c r="R77" s="210"/>
      <c r="S77" s="6"/>
      <c r="T77" s="6"/>
      <c r="U77" s="6"/>
      <c r="V77" s="6"/>
      <c r="W77" s="6"/>
    </row>
    <row r="78" spans="1:23" x14ac:dyDescent="0.2">
      <c r="Q78" s="210"/>
      <c r="R78" s="210"/>
      <c r="S78" s="6"/>
      <c r="T78" s="6"/>
      <c r="U78" s="6"/>
      <c r="V78" s="6"/>
      <c r="W78" s="6"/>
    </row>
    <row r="79" spans="1:23" x14ac:dyDescent="0.2">
      <c r="A79" s="6" t="s">
        <v>135</v>
      </c>
      <c r="Q79" s="210"/>
      <c r="R79" s="210"/>
      <c r="S79" s="6"/>
      <c r="T79" s="6"/>
      <c r="U79" s="6"/>
      <c r="V79" s="6"/>
      <c r="W79" s="6"/>
    </row>
    <row r="80" spans="1:23" x14ac:dyDescent="0.2">
      <c r="A80" s="6" t="s">
        <v>50</v>
      </c>
      <c r="Q80" s="210"/>
      <c r="R80" s="210"/>
      <c r="S80" s="6"/>
      <c r="T80" s="6"/>
      <c r="U80" s="6"/>
      <c r="V80" s="6"/>
      <c r="W80" s="6"/>
    </row>
    <row r="81" spans="1:23" x14ac:dyDescent="0.2">
      <c r="A81" s="6" t="s">
        <v>51</v>
      </c>
      <c r="Q81" s="210"/>
      <c r="R81" s="210"/>
      <c r="S81" s="6"/>
      <c r="T81" s="6"/>
      <c r="U81" s="6"/>
      <c r="V81" s="6"/>
      <c r="W81" s="6"/>
    </row>
    <row r="82" spans="1:23" x14ac:dyDescent="0.2">
      <c r="A82" s="6" t="s">
        <v>52</v>
      </c>
      <c r="Q82" s="210"/>
      <c r="R82" s="210"/>
      <c r="S82" s="6"/>
      <c r="T82" s="6"/>
      <c r="U82" s="6"/>
      <c r="V82" s="6"/>
      <c r="W82" s="6"/>
    </row>
    <row r="83" spans="1:23" x14ac:dyDescent="0.2">
      <c r="A83" s="6" t="s">
        <v>53</v>
      </c>
      <c r="Q83" s="210"/>
      <c r="R83" s="210"/>
      <c r="S83" s="6"/>
      <c r="T83" s="6"/>
      <c r="U83" s="6"/>
      <c r="V83" s="6"/>
      <c r="W83" s="6"/>
    </row>
    <row r="84" spans="1:23" x14ac:dyDescent="0.2">
      <c r="Q84" s="210"/>
      <c r="R84" s="210"/>
      <c r="S84" s="6"/>
      <c r="T84" s="6"/>
      <c r="U84" s="6"/>
      <c r="V84" s="6"/>
      <c r="W84" s="6"/>
    </row>
    <row r="85" spans="1:23" x14ac:dyDescent="0.2">
      <c r="A85" s="152"/>
      <c r="B85" s="6" t="s">
        <v>54</v>
      </c>
      <c r="Q85" s="210"/>
      <c r="R85" s="210"/>
      <c r="S85" s="6"/>
      <c r="T85" s="6"/>
      <c r="U85" s="6"/>
      <c r="V85" s="6"/>
      <c r="W85" s="6"/>
    </row>
    <row r="86" spans="1:23" x14ac:dyDescent="0.2">
      <c r="Q86" s="210"/>
      <c r="R86" s="210"/>
      <c r="S86" s="6"/>
      <c r="T86" s="6"/>
      <c r="U86" s="6"/>
      <c r="V86" s="6"/>
      <c r="W86" s="6"/>
    </row>
    <row r="87" spans="1:23" x14ac:dyDescent="0.2">
      <c r="B87" s="153" t="s">
        <v>55</v>
      </c>
      <c r="Q87" s="210"/>
      <c r="R87" s="210"/>
      <c r="S87" s="6"/>
      <c r="T87" s="6"/>
      <c r="U87" s="6"/>
      <c r="V87" s="6"/>
      <c r="W87"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E48:E49 E68 E64 E23:E38 E40:E46 E51:E60">
      <formula1>#REF!</formula1>
    </dataValidation>
    <dataValidation type="list" allowBlank="1" showInputMessage="1" showErrorMessage="1" prompt="Select Charge Unit - monthly, per kWh, per kW" sqref="D68 D64 D23:D38 D48:D49 D40:D46 D51:D60">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62" fitToWidth="2"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1</xdr:col>
                    <xdr:colOff>1685925</xdr:colOff>
                    <xdr:row>7</xdr:row>
                    <xdr:rowOff>19050</xdr:rowOff>
                  </from>
                  <to>
                    <xdr:col>3</xdr:col>
                    <xdr:colOff>552450</xdr:colOff>
                    <xdr:row>7</xdr:row>
                    <xdr:rowOff>114300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3</xdr:col>
                    <xdr:colOff>447675</xdr:colOff>
                    <xdr:row>6</xdr:row>
                    <xdr:rowOff>142875</xdr:rowOff>
                  </from>
                  <to>
                    <xdr:col>6</xdr:col>
                    <xdr:colOff>514350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W87"/>
  <sheetViews>
    <sheetView showGridLines="0" view="pageBreakPreview" zoomScale="70" zoomScaleNormal="85" zoomScaleSheetLayoutView="70" workbookViewId="0">
      <selection activeCell="B10" sqref="B10"/>
    </sheetView>
  </sheetViews>
  <sheetFormatPr defaultColWidth="9.140625" defaultRowHeight="12.75" x14ac:dyDescent="0.2"/>
  <cols>
    <col min="1" max="1" width="2.140625" style="6" customWidth="1"/>
    <col min="2" max="2" width="33.7109375" style="6" customWidth="1"/>
    <col min="3" max="3" width="1.28515625" style="6" hidden="1" customWidth="1"/>
    <col min="4" max="4" width="11.28515625" style="6" customWidth="1"/>
    <col min="5" max="5" width="1.28515625" style="6" customWidth="1"/>
    <col min="6" max="6" width="12.28515625" style="6" customWidth="1"/>
    <col min="7" max="7" width="9.85546875" style="6" bestFit="1" customWidth="1"/>
    <col min="8" max="8" width="11.5703125" style="6" bestFit="1" customWidth="1"/>
    <col min="9" max="9" width="2.85546875" style="6" customWidth="1"/>
    <col min="10" max="10" width="11.5703125" style="6" bestFit="1" customWidth="1"/>
    <col min="11" max="11" width="9.85546875" style="6" bestFit="1" customWidth="1"/>
    <col min="12" max="12" width="11.5703125" style="6" bestFit="1" customWidth="1"/>
    <col min="13" max="13" width="2.85546875" style="6" customWidth="1"/>
    <col min="14" max="14" width="11.85546875" style="6" bestFit="1"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7109375" style="211" bestFit="1" customWidth="1"/>
    <col min="24" max="16384" width="9.140625" style="6"/>
  </cols>
  <sheetData>
    <row r="1" spans="1:23" s="2" customFormat="1" ht="15" customHeight="1" x14ac:dyDescent="0.2">
      <c r="A1" s="1"/>
      <c r="B1" s="1"/>
      <c r="C1" s="1"/>
      <c r="D1" s="1"/>
      <c r="E1" s="1"/>
      <c r="F1" s="1"/>
      <c r="G1" s="1"/>
      <c r="H1" s="1"/>
      <c r="I1" s="1"/>
      <c r="J1" s="1"/>
      <c r="K1" s="1"/>
      <c r="N1" s="164"/>
      <c r="O1" s="165"/>
      <c r="P1"/>
      <c r="Q1" s="211">
        <v>2</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6"/>
      <c r="O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2</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500</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+'Res (100)'!F23</f>
        <v>12.96</v>
      </c>
      <c r="G23" s="25">
        <v>1</v>
      </c>
      <c r="H23" s="26">
        <f>G23*F23</f>
        <v>12.96</v>
      </c>
      <c r="I23" s="27"/>
      <c r="J23" s="24">
        <f>+'Res (100)'!J23</f>
        <v>16.600000000000001</v>
      </c>
      <c r="K23" s="29">
        <v>1</v>
      </c>
      <c r="L23" s="26">
        <f>K23*J23</f>
        <v>16.600000000000001</v>
      </c>
      <c r="M23" s="27"/>
      <c r="N23" s="30">
        <f>L23-H23</f>
        <v>3.6400000000000006</v>
      </c>
      <c r="O23" s="31">
        <f>IF((H23)=0,"",(N23/H23))</f>
        <v>0.28086419753086422</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+'Res (100)'!F29</f>
        <v>1.9300000000000001E-2</v>
      </c>
      <c r="G29" s="25">
        <f>$F$18</f>
        <v>500</v>
      </c>
      <c r="H29" s="26">
        <f t="shared" si="0"/>
        <v>9.65</v>
      </c>
      <c r="I29" s="27"/>
      <c r="J29" s="24">
        <f>+'Res (100)'!J29</f>
        <v>1.5100000000000001E-2</v>
      </c>
      <c r="K29" s="25">
        <f>$F$18</f>
        <v>500</v>
      </c>
      <c r="L29" s="26">
        <f t="shared" si="1"/>
        <v>7.5500000000000007</v>
      </c>
      <c r="M29" s="27"/>
      <c r="N29" s="30">
        <f t="shared" si="2"/>
        <v>-2.0999999999999996</v>
      </c>
      <c r="O29" s="31">
        <f t="shared" si="3"/>
        <v>-0.2176165803108808</v>
      </c>
      <c r="Q29" s="107"/>
      <c r="S29" s="107"/>
      <c r="U29" s="107"/>
      <c r="W29" s="107"/>
    </row>
    <row r="30" spans="2:23" x14ac:dyDescent="0.2">
      <c r="B30" s="21" t="s">
        <v>22</v>
      </c>
      <c r="C30" s="21"/>
      <c r="D30" s="22"/>
      <c r="E30" s="23"/>
      <c r="F30" s="24"/>
      <c r="G30" s="25">
        <f t="shared" ref="G30" si="4">$F$18</f>
        <v>500</v>
      </c>
      <c r="H30" s="26">
        <f t="shared" si="0"/>
        <v>0</v>
      </c>
      <c r="I30" s="27"/>
      <c r="J30" s="24"/>
      <c r="K30" s="25">
        <f t="shared" ref="K30:K38" si="5">$F$18</f>
        <v>500</v>
      </c>
      <c r="L30" s="26">
        <f t="shared" si="1"/>
        <v>0</v>
      </c>
      <c r="M30" s="27"/>
      <c r="N30" s="30">
        <f t="shared" si="2"/>
        <v>0</v>
      </c>
      <c r="O30" s="31" t="str">
        <f t="shared" si="3"/>
        <v/>
      </c>
      <c r="Q30" s="107"/>
      <c r="S30" s="107"/>
      <c r="U30" s="107"/>
      <c r="W30" s="107"/>
    </row>
    <row r="31" spans="2:23" x14ac:dyDescent="0.2">
      <c r="B31" s="21" t="s">
        <v>23</v>
      </c>
      <c r="C31" s="21"/>
      <c r="D31" s="22" t="s">
        <v>21</v>
      </c>
      <c r="E31" s="23"/>
      <c r="F31" s="50">
        <f>+'Res (100)'!F31</f>
        <v>-2.0000000000000002E-5</v>
      </c>
      <c r="G31" s="25">
        <f>$F$18</f>
        <v>500</v>
      </c>
      <c r="H31" s="26">
        <f t="shared" si="0"/>
        <v>-0.01</v>
      </c>
      <c r="I31" s="27"/>
      <c r="J31" s="52">
        <f>+'Res (100)'!J31</f>
        <v>0</v>
      </c>
      <c r="K31" s="25">
        <f t="shared" si="5"/>
        <v>500</v>
      </c>
      <c r="L31" s="26">
        <f t="shared" si="1"/>
        <v>0</v>
      </c>
      <c r="M31" s="27"/>
      <c r="N31" s="30">
        <f t="shared" si="2"/>
        <v>0.01</v>
      </c>
      <c r="O31" s="31">
        <f t="shared" si="3"/>
        <v>-1</v>
      </c>
      <c r="Q31" s="107"/>
      <c r="S31" s="107"/>
      <c r="U31" s="107"/>
      <c r="W31" s="107"/>
    </row>
    <row r="32" spans="2:23" x14ac:dyDescent="0.2">
      <c r="B32" s="33"/>
      <c r="C32" s="21"/>
      <c r="D32" s="22"/>
      <c r="E32" s="23"/>
      <c r="F32" s="24"/>
      <c r="G32" s="25">
        <f t="shared" ref="G32:G38" si="6">$F$18</f>
        <v>500</v>
      </c>
      <c r="H32" s="26">
        <f t="shared" si="0"/>
        <v>0</v>
      </c>
      <c r="I32" s="27"/>
      <c r="J32" s="28"/>
      <c r="K32" s="25">
        <f t="shared" si="5"/>
        <v>500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500</v>
      </c>
      <c r="H33" s="26">
        <f t="shared" si="0"/>
        <v>0</v>
      </c>
      <c r="I33" s="27"/>
      <c r="J33" s="28"/>
      <c r="K33" s="25">
        <f t="shared" si="5"/>
        <v>500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500</v>
      </c>
      <c r="H34" s="26">
        <f t="shared" si="0"/>
        <v>0</v>
      </c>
      <c r="I34" s="27"/>
      <c r="J34" s="28"/>
      <c r="K34" s="25">
        <f t="shared" si="5"/>
        <v>500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500</v>
      </c>
      <c r="H35" s="26">
        <f t="shared" si="0"/>
        <v>0</v>
      </c>
      <c r="I35" s="27"/>
      <c r="J35" s="28"/>
      <c r="K35" s="25">
        <f t="shared" si="5"/>
        <v>500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500</v>
      </c>
      <c r="H36" s="26">
        <f t="shared" si="0"/>
        <v>0</v>
      </c>
      <c r="I36" s="27"/>
      <c r="J36" s="28"/>
      <c r="K36" s="25">
        <f t="shared" si="5"/>
        <v>500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500</v>
      </c>
      <c r="H37" s="26">
        <f t="shared" si="0"/>
        <v>0</v>
      </c>
      <c r="I37" s="27"/>
      <c r="J37" s="28"/>
      <c r="K37" s="25">
        <f t="shared" si="5"/>
        <v>500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500</v>
      </c>
      <c r="H38" s="26">
        <f t="shared" si="0"/>
        <v>0</v>
      </c>
      <c r="I38" s="27"/>
      <c r="J38" s="28"/>
      <c r="K38" s="25">
        <f t="shared" si="5"/>
        <v>500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22.599999999999998</v>
      </c>
      <c r="I39" s="40"/>
      <c r="J39" s="41"/>
      <c r="K39" s="42"/>
      <c r="L39" s="39">
        <f>SUM(L23:L38)</f>
        <v>24.150000000000002</v>
      </c>
      <c r="M39" s="40"/>
      <c r="N39" s="43">
        <f t="shared" si="2"/>
        <v>1.5500000000000043</v>
      </c>
      <c r="O39" s="44">
        <f t="shared" si="3"/>
        <v>6.8584070796460367E-2</v>
      </c>
      <c r="Q39" s="107"/>
      <c r="R39" s="211"/>
      <c r="S39" s="107"/>
      <c r="T39" s="211"/>
      <c r="U39" s="107"/>
      <c r="V39" s="211"/>
      <c r="W39" s="107"/>
    </row>
    <row r="40" spans="2:23" ht="25.5" x14ac:dyDescent="0.2">
      <c r="B40" s="46" t="str">
        <f>+'Res (100)'!B40</f>
        <v>Deferral/Variance Account Disposition Rate Rider Group 1</v>
      </c>
      <c r="C40" s="21"/>
      <c r="D40" s="22" t="s">
        <v>21</v>
      </c>
      <c r="E40" s="23"/>
      <c r="F40" s="24">
        <f>'Res (100)'!F40</f>
        <v>-8.2600000000000002E-4</v>
      </c>
      <c r="G40" s="25">
        <f>$F$18</f>
        <v>500</v>
      </c>
      <c r="H40" s="26">
        <f>G40*F40</f>
        <v>-0.41300000000000003</v>
      </c>
      <c r="I40" s="27"/>
      <c r="J40" s="28">
        <f>+'Res (100)'!J40</f>
        <v>-1E-4</v>
      </c>
      <c r="K40" s="25">
        <f>$F$18</f>
        <v>500</v>
      </c>
      <c r="L40" s="26">
        <f>K40*J40</f>
        <v>-0.05</v>
      </c>
      <c r="M40" s="27"/>
      <c r="N40" s="30">
        <f>L40-H40</f>
        <v>0.36300000000000004</v>
      </c>
      <c r="O40" s="31">
        <f>IF((H40)=0,"",(N40/H40))</f>
        <v>-0.87893462469733663</v>
      </c>
      <c r="Q40" s="107"/>
      <c r="S40" s="107"/>
      <c r="U40" s="107"/>
      <c r="W40" s="107"/>
    </row>
    <row r="41" spans="2:23" ht="25.5" x14ac:dyDescent="0.2">
      <c r="B41" s="46" t="str">
        <f>+'Res (100)'!B41</f>
        <v>Deferral/Variance Account Disposition Rate Rider Group 2</v>
      </c>
      <c r="C41" s="21"/>
      <c r="D41" s="22" t="s">
        <v>18</v>
      </c>
      <c r="E41" s="23"/>
      <c r="F41" s="24">
        <f>'Res (100)'!F41</f>
        <v>0.32</v>
      </c>
      <c r="G41" s="25">
        <v>1</v>
      </c>
      <c r="H41" s="26">
        <f t="shared" ref="H41:H45" si="7">G41*F41</f>
        <v>0.32</v>
      </c>
      <c r="I41" s="47"/>
      <c r="J41" s="28">
        <f>+'Res (100)'!J41</f>
        <v>0.02</v>
      </c>
      <c r="K41" s="25">
        <v>1</v>
      </c>
      <c r="L41" s="26">
        <f t="shared" ref="L41:L45" si="8">K41*J41</f>
        <v>0.02</v>
      </c>
      <c r="M41" s="48"/>
      <c r="N41" s="30">
        <f t="shared" ref="N41:N45" si="9">L41-H41</f>
        <v>-0.3</v>
      </c>
      <c r="O41" s="31">
        <f t="shared" ref="O41:O63" si="10">IF((H41)=0,"",(N41/H41))</f>
        <v>-0.9375</v>
      </c>
      <c r="Q41" s="107"/>
      <c r="S41" s="107"/>
      <c r="U41" s="107"/>
      <c r="W41" s="107"/>
    </row>
    <row r="42" spans="2:23" ht="25.5" x14ac:dyDescent="0.2">
      <c r="B42" s="154" t="s">
        <v>108</v>
      </c>
      <c r="C42" s="21"/>
      <c r="D42" s="22" t="s">
        <v>21</v>
      </c>
      <c r="E42" s="23"/>
      <c r="F42" s="24">
        <f>'Res (232)'!F42</f>
        <v>-1.5089999999999999E-3</v>
      </c>
      <c r="G42" s="25">
        <f t="shared" ref="G42:G43" si="11">$F$18</f>
        <v>500</v>
      </c>
      <c r="H42" s="26">
        <f t="shared" si="7"/>
        <v>-0.75449999999999995</v>
      </c>
      <c r="I42" s="47"/>
      <c r="J42" s="28">
        <f>+'Res (100)'!J42</f>
        <v>-2.3E-3</v>
      </c>
      <c r="K42" s="25">
        <f t="shared" ref="K42:K43" si="12">$F$18</f>
        <v>500</v>
      </c>
      <c r="L42" s="26">
        <f t="shared" si="8"/>
        <v>-1.1499999999999999</v>
      </c>
      <c r="M42" s="48"/>
      <c r="N42" s="30">
        <f t="shared" si="9"/>
        <v>-0.39549999999999996</v>
      </c>
      <c r="O42" s="31">
        <f t="shared" si="10"/>
        <v>0.52418820410868128</v>
      </c>
      <c r="Q42" s="107"/>
      <c r="S42" s="107"/>
      <c r="U42" s="107"/>
      <c r="W42" s="107"/>
    </row>
    <row r="43" spans="2:23" ht="25.5" x14ac:dyDescent="0.2">
      <c r="B43" s="46" t="s">
        <v>128</v>
      </c>
      <c r="C43" s="21"/>
      <c r="D43" s="22" t="s">
        <v>21</v>
      </c>
      <c r="E43" s="23"/>
      <c r="F43" s="24">
        <f>+'Res (100)'!F43</f>
        <v>0</v>
      </c>
      <c r="G43" s="25">
        <f t="shared" si="11"/>
        <v>500</v>
      </c>
      <c r="H43" s="26">
        <f t="shared" si="7"/>
        <v>0</v>
      </c>
      <c r="I43" s="47"/>
      <c r="J43" s="233">
        <f>+'Res (100)'!J43</f>
        <v>2.7E-4</v>
      </c>
      <c r="K43" s="25">
        <f t="shared" si="12"/>
        <v>500</v>
      </c>
      <c r="L43" s="26">
        <f t="shared" si="8"/>
        <v>0.13500000000000001</v>
      </c>
      <c r="M43" s="48"/>
      <c r="N43" s="30">
        <f t="shared" si="9"/>
        <v>0.13500000000000001</v>
      </c>
      <c r="O43" s="31" t="str">
        <f t="shared" si="10"/>
        <v/>
      </c>
      <c r="Q43" s="107"/>
      <c r="S43" s="107"/>
      <c r="U43" s="107"/>
      <c r="W43" s="107"/>
    </row>
    <row r="44" spans="2:23" x14ac:dyDescent="0.2">
      <c r="B44" s="49" t="s">
        <v>26</v>
      </c>
      <c r="C44" s="21"/>
      <c r="D44" s="22" t="s">
        <v>21</v>
      </c>
      <c r="E44" s="23"/>
      <c r="F44" s="50">
        <f>'Res (100)'!F44</f>
        <v>6.9999999999999994E-5</v>
      </c>
      <c r="G44" s="51">
        <f>$F$18*(1+F70)</f>
        <v>516.75</v>
      </c>
      <c r="H44" s="26">
        <f>G44*F44</f>
        <v>3.6172499999999996E-2</v>
      </c>
      <c r="I44" s="27"/>
      <c r="J44" s="52">
        <f>'Res (100)'!J44</f>
        <v>6.9999999999999994E-5</v>
      </c>
      <c r="K44" s="51">
        <f>$F$18*(1+J70)</f>
        <v>516.75</v>
      </c>
      <c r="L44" s="26">
        <f>K44*J44</f>
        <v>3.6172499999999996E-2</v>
      </c>
      <c r="M44" s="27"/>
      <c r="N44" s="30">
        <f>L44-H44</f>
        <v>0</v>
      </c>
      <c r="O44" s="31">
        <f>IF((H44)=0,"",(N44/H44))</f>
        <v>0</v>
      </c>
      <c r="Q44" s="107"/>
      <c r="S44" s="107"/>
      <c r="U44" s="107"/>
      <c r="W44" s="107"/>
    </row>
    <row r="45" spans="2:23" x14ac:dyDescent="0.2">
      <c r="B45" s="49" t="s">
        <v>27</v>
      </c>
      <c r="C45" s="21"/>
      <c r="D45" s="22"/>
      <c r="E45" s="23"/>
      <c r="F45" s="53">
        <f>IF(ISBLANK(D16)=TRUE, 0, IF(D16="TOU", 0.65*$F$55+0.17*$F$56+0.18*$F$57, IF(AND(D16="non-TOU", G59&gt;0), F59,F58)))</f>
        <v>0.11139</v>
      </c>
      <c r="G45" s="54">
        <f>$F$18*(1+$F$70)-$F$18</f>
        <v>16.75</v>
      </c>
      <c r="H45" s="26">
        <f t="shared" si="7"/>
        <v>1.8657825000000001</v>
      </c>
      <c r="I45" s="27"/>
      <c r="J45" s="55">
        <f>0.65*$J$55+0.17*$J$56+0.18*$J$57</f>
        <v>0.11139</v>
      </c>
      <c r="K45" s="54">
        <f>$F$18*(1+$J$70)-$F$18</f>
        <v>16.75</v>
      </c>
      <c r="L45" s="26">
        <f t="shared" si="8"/>
        <v>1.8657825000000001</v>
      </c>
      <c r="M45" s="27"/>
      <c r="N45" s="30">
        <f t="shared" si="9"/>
        <v>0</v>
      </c>
      <c r="O45" s="31">
        <f t="shared" si="10"/>
        <v>0</v>
      </c>
      <c r="Q45" s="107"/>
      <c r="S45" s="107"/>
      <c r="U45" s="107"/>
      <c r="W45" s="107"/>
    </row>
    <row r="46" spans="2:23" x14ac:dyDescent="0.2">
      <c r="B46" s="49" t="s">
        <v>28</v>
      </c>
      <c r="C46" s="21"/>
      <c r="D46" s="22" t="s">
        <v>18</v>
      </c>
      <c r="E46" s="23"/>
      <c r="F46" s="53">
        <f>'Res (100)'!F46</f>
        <v>0.79</v>
      </c>
      <c r="G46" s="25">
        <v>1</v>
      </c>
      <c r="H46" s="26">
        <f>G46*F46</f>
        <v>0.79</v>
      </c>
      <c r="I46" s="27"/>
      <c r="J46" s="53">
        <f>'Res (100)'!J46</f>
        <v>0.79</v>
      </c>
      <c r="K46" s="25">
        <v>1</v>
      </c>
      <c r="L46" s="26">
        <f>K46*J46</f>
        <v>0.79</v>
      </c>
      <c r="M46" s="27"/>
      <c r="N46" s="30">
        <f>L46-H46</f>
        <v>0</v>
      </c>
      <c r="O46" s="31">
        <f t="shared" si="10"/>
        <v>0</v>
      </c>
      <c r="Q46" s="107"/>
      <c r="S46" s="107"/>
      <c r="U46" s="107"/>
      <c r="W46" s="107"/>
    </row>
    <row r="47" spans="2:23" ht="25.5" x14ac:dyDescent="0.2">
      <c r="B47" s="56" t="s">
        <v>29</v>
      </c>
      <c r="C47" s="57"/>
      <c r="D47" s="57"/>
      <c r="E47" s="57"/>
      <c r="F47" s="58"/>
      <c r="G47" s="59"/>
      <c r="H47" s="60">
        <f>SUM(H40:H46)+H39</f>
        <v>24.444454999999998</v>
      </c>
      <c r="I47" s="40"/>
      <c r="J47" s="59"/>
      <c r="K47" s="61"/>
      <c r="L47" s="60">
        <f>SUM(L40:L46)+L39</f>
        <v>25.796955000000004</v>
      </c>
      <c r="M47" s="40"/>
      <c r="N47" s="43">
        <f t="shared" ref="N47:N63" si="13">L47-H47</f>
        <v>1.3525000000000063</v>
      </c>
      <c r="O47" s="44">
        <f t="shared" si="10"/>
        <v>5.5329521562252314E-2</v>
      </c>
      <c r="Q47" s="107"/>
      <c r="S47" s="107"/>
      <c r="U47" s="107"/>
      <c r="W47" s="107"/>
    </row>
    <row r="48" spans="2:23" x14ac:dyDescent="0.2">
      <c r="B48" s="27" t="s">
        <v>30</v>
      </c>
      <c r="C48" s="27"/>
      <c r="D48" s="62" t="s">
        <v>21</v>
      </c>
      <c r="E48" s="63"/>
      <c r="F48" s="28">
        <f>'Res (100)'!F48</f>
        <v>7.6E-3</v>
      </c>
      <c r="G48" s="64">
        <f>F18*(1+F70)</f>
        <v>516.75</v>
      </c>
      <c r="H48" s="26">
        <f>G48*F48</f>
        <v>3.9272999999999998</v>
      </c>
      <c r="I48" s="27"/>
      <c r="J48" s="28">
        <f>'Res (100)'!J48</f>
        <v>7.4000000000000003E-3</v>
      </c>
      <c r="K48" s="65">
        <f>F18*(1+J70)</f>
        <v>516.75</v>
      </c>
      <c r="L48" s="26">
        <f>K48*J48</f>
        <v>3.82395</v>
      </c>
      <c r="M48" s="27"/>
      <c r="N48" s="30">
        <f t="shared" si="13"/>
        <v>-0.10334999999999983</v>
      </c>
      <c r="O48" s="31">
        <f t="shared" si="10"/>
        <v>-2.6315789473684167E-2</v>
      </c>
      <c r="Q48" s="107"/>
      <c r="S48" s="107"/>
      <c r="U48" s="107"/>
      <c r="W48" s="107"/>
    </row>
    <row r="49" spans="2:23" ht="25.5" x14ac:dyDescent="0.2">
      <c r="B49" s="66" t="s">
        <v>31</v>
      </c>
      <c r="C49" s="27"/>
      <c r="D49" s="62" t="s">
        <v>21</v>
      </c>
      <c r="E49" s="63"/>
      <c r="F49" s="28">
        <f>'Res (100)'!F49</f>
        <v>4.7000000000000002E-3</v>
      </c>
      <c r="G49" s="64">
        <f>G48</f>
        <v>516.75</v>
      </c>
      <c r="H49" s="26">
        <f>G49*F49</f>
        <v>2.428725</v>
      </c>
      <c r="I49" s="27"/>
      <c r="J49" s="28">
        <f>'Res (100)'!J49</f>
        <v>4.7000000000000002E-3</v>
      </c>
      <c r="K49" s="65">
        <f>K48</f>
        <v>516.75</v>
      </c>
      <c r="L49" s="26">
        <f>K49*J49</f>
        <v>2.428725</v>
      </c>
      <c r="M49" s="27"/>
      <c r="N49" s="30">
        <f t="shared" si="13"/>
        <v>0</v>
      </c>
      <c r="O49" s="31">
        <f t="shared" si="10"/>
        <v>0</v>
      </c>
      <c r="Q49" s="107"/>
      <c r="S49" s="107"/>
      <c r="U49" s="107"/>
      <c r="W49" s="107"/>
    </row>
    <row r="50" spans="2:23" ht="25.5" x14ac:dyDescent="0.2">
      <c r="B50" s="56" t="s">
        <v>32</v>
      </c>
      <c r="C50" s="35"/>
      <c r="D50" s="35"/>
      <c r="E50" s="35"/>
      <c r="F50" s="67"/>
      <c r="G50" s="59"/>
      <c r="H50" s="60">
        <f>SUM(H47:H49)</f>
        <v>30.800479999999997</v>
      </c>
      <c r="I50" s="68"/>
      <c r="J50" s="69"/>
      <c r="K50" s="70"/>
      <c r="L50" s="60">
        <f>SUM(L47:L49)</f>
        <v>32.049630000000008</v>
      </c>
      <c r="M50" s="68"/>
      <c r="N50" s="43">
        <f t="shared" si="13"/>
        <v>1.2491500000000109</v>
      </c>
      <c r="O50" s="44">
        <f t="shared" si="10"/>
        <v>4.0556186137359257E-2</v>
      </c>
      <c r="Q50" s="102"/>
      <c r="S50" s="102"/>
      <c r="U50" s="102"/>
      <c r="W50" s="102"/>
    </row>
    <row r="51" spans="2:23" ht="25.5" x14ac:dyDescent="0.2">
      <c r="B51" s="71" t="s">
        <v>33</v>
      </c>
      <c r="C51" s="21"/>
      <c r="D51" s="22" t="s">
        <v>21</v>
      </c>
      <c r="E51" s="23"/>
      <c r="F51" s="72">
        <f>'Res (100)'!F51</f>
        <v>3.5999999999999999E-3</v>
      </c>
      <c r="G51" s="64">
        <f>G49</f>
        <v>516.75</v>
      </c>
      <c r="H51" s="73">
        <f t="shared" ref="H51:H57" si="14">G51*F51</f>
        <v>1.8602999999999998</v>
      </c>
      <c r="I51" s="27"/>
      <c r="J51" s="72">
        <f>F51</f>
        <v>3.5999999999999999E-3</v>
      </c>
      <c r="K51" s="65">
        <f>K49</f>
        <v>516.75</v>
      </c>
      <c r="L51" s="73">
        <f t="shared" ref="L51:L57" si="15">K51*J51</f>
        <v>1.8602999999999998</v>
      </c>
      <c r="M51" s="27"/>
      <c r="N51" s="30">
        <f t="shared" si="13"/>
        <v>0</v>
      </c>
      <c r="O51" s="74">
        <f t="shared" si="10"/>
        <v>0</v>
      </c>
      <c r="Q51" s="107"/>
      <c r="S51" s="107"/>
      <c r="U51" s="107"/>
      <c r="W51" s="107"/>
    </row>
    <row r="52" spans="2:23" ht="25.5" x14ac:dyDescent="0.2">
      <c r="B52" s="71" t="s">
        <v>34</v>
      </c>
      <c r="C52" s="21"/>
      <c r="D52" s="22" t="s">
        <v>21</v>
      </c>
      <c r="E52" s="23"/>
      <c r="F52" s="72">
        <f>'Res (100)'!F52</f>
        <v>1.2999999999999999E-3</v>
      </c>
      <c r="G52" s="64">
        <f>G49</f>
        <v>516.75</v>
      </c>
      <c r="H52" s="73">
        <f t="shared" si="14"/>
        <v>0.67177500000000001</v>
      </c>
      <c r="I52" s="27"/>
      <c r="J52" s="72">
        <f>F52</f>
        <v>1.2999999999999999E-3</v>
      </c>
      <c r="K52" s="65">
        <f>K49</f>
        <v>516.75</v>
      </c>
      <c r="L52" s="73">
        <f t="shared" si="15"/>
        <v>0.67177500000000001</v>
      </c>
      <c r="M52" s="27"/>
      <c r="N52" s="30">
        <f t="shared" si="13"/>
        <v>0</v>
      </c>
      <c r="O52" s="74">
        <f t="shared" si="10"/>
        <v>0</v>
      </c>
      <c r="Q52" s="107"/>
      <c r="S52" s="107"/>
      <c r="U52" s="107"/>
      <c r="W52" s="107"/>
    </row>
    <row r="53" spans="2:23" x14ac:dyDescent="0.2">
      <c r="B53" s="21" t="s">
        <v>35</v>
      </c>
      <c r="C53" s="21"/>
      <c r="D53" s="22" t="s">
        <v>18</v>
      </c>
      <c r="E53" s="23"/>
      <c r="F53" s="72">
        <f>'Res (100)'!F53</f>
        <v>0.25</v>
      </c>
      <c r="G53" s="25">
        <v>1</v>
      </c>
      <c r="H53" s="73">
        <f t="shared" si="14"/>
        <v>0.25</v>
      </c>
      <c r="I53" s="27"/>
      <c r="J53" s="72">
        <f>F53</f>
        <v>0.25</v>
      </c>
      <c r="K53" s="29">
        <v>1</v>
      </c>
      <c r="L53" s="73">
        <f t="shared" si="15"/>
        <v>0.25</v>
      </c>
      <c r="M53" s="27"/>
      <c r="N53" s="30">
        <f t="shared" si="13"/>
        <v>0</v>
      </c>
      <c r="O53" s="74">
        <f t="shared" si="10"/>
        <v>0</v>
      </c>
      <c r="Q53" s="107"/>
      <c r="S53" s="107"/>
      <c r="U53" s="107"/>
      <c r="W53" s="107"/>
    </row>
    <row r="54" spans="2:23" x14ac:dyDescent="0.2">
      <c r="B54" s="21" t="s">
        <v>122</v>
      </c>
      <c r="C54" s="21"/>
      <c r="D54" s="22"/>
      <c r="E54" s="23"/>
      <c r="F54" s="72">
        <f>'Res (100)'!F54</f>
        <v>1.1000000000000001E-3</v>
      </c>
      <c r="G54" s="64">
        <f>F18*(1+F70)</f>
        <v>516.75</v>
      </c>
      <c r="H54" s="73">
        <f>G54*F54</f>
        <v>0.56842500000000007</v>
      </c>
      <c r="I54" s="27"/>
      <c r="J54" s="72">
        <f>'Res (100)'!J54</f>
        <v>1.1000000000000001E-3</v>
      </c>
      <c r="K54" s="65">
        <f>F18*(1+J70)</f>
        <v>516.75</v>
      </c>
      <c r="L54" s="73">
        <f>K54*J54</f>
        <v>0.56842500000000007</v>
      </c>
      <c r="M54" s="27"/>
      <c r="N54" s="30"/>
      <c r="O54" s="74"/>
      <c r="Q54" s="107"/>
      <c r="S54" s="107"/>
      <c r="U54" s="107"/>
      <c r="W54" s="107"/>
    </row>
    <row r="55" spans="2:23" x14ac:dyDescent="0.2">
      <c r="B55" s="49" t="s">
        <v>37</v>
      </c>
      <c r="C55" s="21"/>
      <c r="D55" s="22"/>
      <c r="E55" s="23"/>
      <c r="F55" s="72">
        <f>'Res (100)'!F55</f>
        <v>8.6999999999999994E-2</v>
      </c>
      <c r="G55" s="77">
        <f>0.65*$F$18</f>
        <v>325</v>
      </c>
      <c r="H55" s="73">
        <f t="shared" si="14"/>
        <v>28.274999999999999</v>
      </c>
      <c r="I55" s="27"/>
      <c r="J55" s="72">
        <f>F55</f>
        <v>8.6999999999999994E-2</v>
      </c>
      <c r="K55" s="77">
        <f>$G$55</f>
        <v>325</v>
      </c>
      <c r="L55" s="73">
        <f t="shared" si="15"/>
        <v>28.274999999999999</v>
      </c>
      <c r="M55" s="27"/>
      <c r="N55" s="30">
        <f t="shared" si="13"/>
        <v>0</v>
      </c>
      <c r="O55" s="74">
        <f t="shared" si="10"/>
        <v>0</v>
      </c>
      <c r="Q55" s="107"/>
      <c r="S55" s="107"/>
      <c r="U55" s="107"/>
      <c r="W55" s="107"/>
    </row>
    <row r="56" spans="2:23" x14ac:dyDescent="0.2">
      <c r="B56" s="49" t="s">
        <v>38</v>
      </c>
      <c r="C56" s="21"/>
      <c r="D56" s="22"/>
      <c r="E56" s="23"/>
      <c r="F56" s="72">
        <f>'Res (100)'!F56</f>
        <v>0.13200000000000001</v>
      </c>
      <c r="G56" s="77">
        <f>0.17*$F$18</f>
        <v>85</v>
      </c>
      <c r="H56" s="73">
        <f t="shared" si="14"/>
        <v>11.22</v>
      </c>
      <c r="I56" s="27"/>
      <c r="J56" s="72">
        <f>F56</f>
        <v>0.13200000000000001</v>
      </c>
      <c r="K56" s="77">
        <f>$G$56</f>
        <v>85</v>
      </c>
      <c r="L56" s="73">
        <f t="shared" si="15"/>
        <v>11.22</v>
      </c>
      <c r="M56" s="27"/>
      <c r="N56" s="30">
        <f t="shared" si="13"/>
        <v>0</v>
      </c>
      <c r="O56" s="74">
        <f t="shared" si="10"/>
        <v>0</v>
      </c>
      <c r="Q56" s="107"/>
      <c r="S56" s="107"/>
      <c r="U56" s="107"/>
      <c r="W56" s="107"/>
    </row>
    <row r="57" spans="2:23" x14ac:dyDescent="0.2">
      <c r="B57" s="11" t="s">
        <v>39</v>
      </c>
      <c r="C57" s="21"/>
      <c r="D57" s="22"/>
      <c r="E57" s="23"/>
      <c r="F57" s="72">
        <f>'Res (100)'!F57</f>
        <v>0.18</v>
      </c>
      <c r="G57" s="77">
        <f>0.18*$F$18</f>
        <v>90</v>
      </c>
      <c r="H57" s="73">
        <f t="shared" si="14"/>
        <v>16.2</v>
      </c>
      <c r="I57" s="27"/>
      <c r="J57" s="72">
        <f>F57</f>
        <v>0.18</v>
      </c>
      <c r="K57" s="77">
        <f>$G$57</f>
        <v>90</v>
      </c>
      <c r="L57" s="73">
        <f t="shared" si="15"/>
        <v>16.2</v>
      </c>
      <c r="M57" s="27"/>
      <c r="N57" s="30">
        <f t="shared" si="13"/>
        <v>0</v>
      </c>
      <c r="O57" s="74">
        <f t="shared" si="10"/>
        <v>0</v>
      </c>
      <c r="Q57" s="107"/>
      <c r="S57" s="107"/>
      <c r="U57" s="107"/>
      <c r="W57" s="107"/>
    </row>
    <row r="58" spans="2:23" s="85" customFormat="1" x14ac:dyDescent="0.2">
      <c r="B58" s="78" t="s">
        <v>40</v>
      </c>
      <c r="C58" s="79"/>
      <c r="D58" s="80"/>
      <c r="E58" s="81"/>
      <c r="F58" s="72">
        <f>'Res (100)'!F58</f>
        <v>0.10299999999999999</v>
      </c>
      <c r="G58" s="82">
        <f>IF(AND($Q$1=1, F18&gt;=600), 600, IF(AND($Q$1=1, AND(F18&lt;600, F18&gt;=0)), F18, IF(AND($Q$1=2, F18&gt;=1000), 1000, IF(AND($Q$1=2, AND(F18&lt;1000, F18&gt;=0)), F18))))</f>
        <v>500</v>
      </c>
      <c r="H58" s="73">
        <f>G58*F58</f>
        <v>51.5</v>
      </c>
      <c r="I58" s="83"/>
      <c r="J58" s="72">
        <f>F58</f>
        <v>0.10299999999999999</v>
      </c>
      <c r="K58" s="82">
        <f>$G$58</f>
        <v>500</v>
      </c>
      <c r="L58" s="73">
        <f>K58*J58</f>
        <v>51.5</v>
      </c>
      <c r="M58" s="83"/>
      <c r="N58" s="84">
        <f t="shared" si="13"/>
        <v>0</v>
      </c>
      <c r="O58" s="74">
        <f t="shared" si="10"/>
        <v>0</v>
      </c>
      <c r="Q58" s="143"/>
      <c r="R58" s="212"/>
      <c r="S58" s="143"/>
      <c r="T58" s="212"/>
      <c r="U58" s="143"/>
      <c r="V58" s="212"/>
      <c r="W58" s="143"/>
    </row>
    <row r="59" spans="2:23" s="85" customFormat="1" ht="13.5" thickBot="1" x14ac:dyDescent="0.25">
      <c r="B59" s="78" t="s">
        <v>41</v>
      </c>
      <c r="C59" s="79"/>
      <c r="D59" s="80"/>
      <c r="E59" s="81"/>
      <c r="F59" s="72">
        <f>'Res (100)'!F59</f>
        <v>0.121</v>
      </c>
      <c r="G59" s="82">
        <f>IF(AND($Q$1=1, F18&gt;=600), F18-600, IF(AND($Q$1=1, AND(F18&lt;600, F18&gt;=0)), 0, IF(AND($Q$1=2, F18&gt;=1000), F18-1000, IF(AND($Q$1=2, AND(F18&lt;1000, F18&gt;=0)), 0))))</f>
        <v>0</v>
      </c>
      <c r="H59" s="73">
        <f>G59*F59</f>
        <v>0</v>
      </c>
      <c r="I59" s="83"/>
      <c r="J59" s="72">
        <f>F59</f>
        <v>0.121</v>
      </c>
      <c r="K59" s="82">
        <f>$G$59</f>
        <v>0</v>
      </c>
      <c r="L59" s="73">
        <f>K59*J59</f>
        <v>0</v>
      </c>
      <c r="M59" s="83"/>
      <c r="N59" s="84">
        <f t="shared" si="13"/>
        <v>0</v>
      </c>
      <c r="O59" s="74" t="str">
        <f t="shared" si="10"/>
        <v/>
      </c>
      <c r="Q59" s="143"/>
      <c r="R59" s="212"/>
      <c r="S59" s="143"/>
      <c r="T59" s="212"/>
      <c r="U59" s="143"/>
      <c r="V59" s="212"/>
      <c r="W59" s="143"/>
    </row>
    <row r="60" spans="2:23" ht="8.25" customHeight="1" thickBot="1" x14ac:dyDescent="0.25">
      <c r="B60" s="86"/>
      <c r="C60" s="87"/>
      <c r="D60" s="88"/>
      <c r="E60" s="87"/>
      <c r="F60" s="89"/>
      <c r="G60" s="90"/>
      <c r="H60" s="91"/>
      <c r="I60" s="92"/>
      <c r="J60" s="89"/>
      <c r="K60" s="93"/>
      <c r="L60" s="91"/>
      <c r="M60" s="92"/>
      <c r="N60" s="94"/>
      <c r="O60" s="95"/>
      <c r="Q60" s="107"/>
      <c r="S60" s="107"/>
      <c r="U60" s="107"/>
      <c r="W60" s="107"/>
    </row>
    <row r="61" spans="2:23" x14ac:dyDescent="0.2">
      <c r="B61" s="96" t="s">
        <v>42</v>
      </c>
      <c r="C61" s="21"/>
      <c r="D61" s="21"/>
      <c r="E61" s="21"/>
      <c r="F61" s="97"/>
      <c r="G61" s="98"/>
      <c r="H61" s="99">
        <f>SUM(H51:H57,H50)</f>
        <v>89.845979999999997</v>
      </c>
      <c r="I61" s="100"/>
      <c r="J61" s="101"/>
      <c r="K61" s="101"/>
      <c r="L61" s="99">
        <f>SUM(L51:L57,L50)</f>
        <v>91.095130000000012</v>
      </c>
      <c r="M61" s="102"/>
      <c r="N61" s="103">
        <f t="shared" ref="N61" si="16">L61-H61</f>
        <v>1.2491500000000144</v>
      </c>
      <c r="O61" s="104">
        <f t="shared" ref="O61" si="17">IF((H61)=0,"",(N61/H61))</f>
        <v>1.3903237518250839E-2</v>
      </c>
      <c r="Q61" s="102"/>
      <c r="S61" s="102"/>
      <c r="U61" s="102"/>
      <c r="W61" s="102"/>
    </row>
    <row r="62" spans="2:23" x14ac:dyDescent="0.2">
      <c r="B62" s="105" t="s">
        <v>43</v>
      </c>
      <c r="C62" s="21"/>
      <c r="D62" s="21"/>
      <c r="E62" s="21"/>
      <c r="F62" s="106">
        <v>0.13</v>
      </c>
      <c r="G62" s="107"/>
      <c r="H62" s="108">
        <f>H61*F62</f>
        <v>11.6799774</v>
      </c>
      <c r="I62" s="109"/>
      <c r="J62" s="110">
        <v>0.13</v>
      </c>
      <c r="K62" s="109"/>
      <c r="L62" s="111">
        <f>L61*J62</f>
        <v>11.842366900000002</v>
      </c>
      <c r="M62" s="112"/>
      <c r="N62" s="113">
        <f t="shared" si="13"/>
        <v>0.16238950000000152</v>
      </c>
      <c r="O62" s="114">
        <f t="shared" si="10"/>
        <v>1.3903237518250807E-2</v>
      </c>
      <c r="Q62" s="112"/>
      <c r="S62" s="112"/>
      <c r="U62" s="112"/>
      <c r="W62" s="112"/>
    </row>
    <row r="63" spans="2:23" ht="13.5" thickBot="1" x14ac:dyDescent="0.25">
      <c r="B63" s="115" t="s">
        <v>44</v>
      </c>
      <c r="C63" s="21"/>
      <c r="D63" s="21"/>
      <c r="E63" s="21"/>
      <c r="F63" s="116"/>
      <c r="G63" s="107"/>
      <c r="H63" s="99">
        <f>H61+H62</f>
        <v>101.5259574</v>
      </c>
      <c r="I63" s="109"/>
      <c r="J63" s="109"/>
      <c r="K63" s="109"/>
      <c r="L63" s="220">
        <f>L61+L62</f>
        <v>102.93749690000001</v>
      </c>
      <c r="M63" s="112"/>
      <c r="N63" s="103">
        <f t="shared" si="13"/>
        <v>1.4115395000000177</v>
      </c>
      <c r="O63" s="104">
        <f t="shared" si="10"/>
        <v>1.3903237518250853E-2</v>
      </c>
      <c r="Q63" s="112"/>
      <c r="S63" s="112"/>
      <c r="U63" s="112"/>
      <c r="W63" s="112"/>
    </row>
    <row r="64" spans="2:23" s="85" customFormat="1" ht="8.25" customHeight="1" thickBot="1" x14ac:dyDescent="0.25">
      <c r="B64" s="117"/>
      <c r="C64" s="118"/>
      <c r="D64" s="119"/>
      <c r="E64" s="118"/>
      <c r="F64" s="89"/>
      <c r="G64" s="120"/>
      <c r="H64" s="91"/>
      <c r="I64" s="121"/>
      <c r="J64" s="89"/>
      <c r="K64" s="122"/>
      <c r="L64" s="91"/>
      <c r="M64" s="121"/>
      <c r="N64" s="123"/>
      <c r="O64" s="95"/>
      <c r="Q64" s="143"/>
      <c r="R64" s="212"/>
      <c r="S64" s="143"/>
      <c r="T64" s="212"/>
      <c r="U64" s="143"/>
      <c r="V64" s="212"/>
      <c r="W64" s="143"/>
    </row>
    <row r="65" spans="1:23" s="85" customFormat="1" x14ac:dyDescent="0.2">
      <c r="B65" s="124" t="s">
        <v>45</v>
      </c>
      <c r="C65" s="79"/>
      <c r="D65" s="79"/>
      <c r="E65" s="79"/>
      <c r="F65" s="125"/>
      <c r="G65" s="126"/>
      <c r="H65" s="127">
        <f>SUM(H58:H59,H50,H51:H54)</f>
        <v>85.65097999999999</v>
      </c>
      <c r="I65" s="128"/>
      <c r="J65" s="129"/>
      <c r="K65" s="129"/>
      <c r="L65" s="127">
        <f>SUM(L58:L59,L50,L51:L54)</f>
        <v>86.900130000000004</v>
      </c>
      <c r="M65" s="130"/>
      <c r="N65" s="131">
        <f t="shared" ref="N65:N67" si="18">L65-H65</f>
        <v>1.2491500000000144</v>
      </c>
      <c r="O65" s="104">
        <f t="shared" ref="O65:O67" si="19">IF((H65)=0,"",(N65/H65))</f>
        <v>1.4584188061829702E-2</v>
      </c>
      <c r="Q65" s="130"/>
      <c r="R65" s="212"/>
      <c r="S65" s="130"/>
      <c r="T65" s="212"/>
      <c r="U65" s="130"/>
      <c r="V65" s="212"/>
      <c r="W65" s="130"/>
    </row>
    <row r="66" spans="1:23" s="85" customFormat="1" x14ac:dyDescent="0.2">
      <c r="B66" s="132" t="s">
        <v>43</v>
      </c>
      <c r="C66" s="79"/>
      <c r="D66" s="79"/>
      <c r="E66" s="79"/>
      <c r="F66" s="133">
        <v>0.13</v>
      </c>
      <c r="G66" s="126"/>
      <c r="H66" s="134">
        <f>H65*F66</f>
        <v>11.134627399999999</v>
      </c>
      <c r="I66" s="135"/>
      <c r="J66" s="136">
        <v>0.13</v>
      </c>
      <c r="K66" s="137"/>
      <c r="L66" s="138">
        <f>L65*J66</f>
        <v>11.297016900000001</v>
      </c>
      <c r="M66" s="139"/>
      <c r="N66" s="140">
        <f t="shared" si="18"/>
        <v>0.16238950000000152</v>
      </c>
      <c r="O66" s="114">
        <f t="shared" si="19"/>
        <v>1.458418806182967E-2</v>
      </c>
      <c r="Q66" s="139"/>
      <c r="R66" s="212"/>
      <c r="S66" s="139"/>
      <c r="T66" s="212"/>
      <c r="U66" s="139"/>
      <c r="V66" s="212"/>
      <c r="W66" s="139"/>
    </row>
    <row r="67" spans="1:23" s="85" customFormat="1" ht="13.5" thickBot="1" x14ac:dyDescent="0.25">
      <c r="B67" s="141" t="s">
        <v>44</v>
      </c>
      <c r="C67" s="79"/>
      <c r="D67" s="79"/>
      <c r="E67" s="79"/>
      <c r="F67" s="142"/>
      <c r="G67" s="143"/>
      <c r="H67" s="127">
        <f>H65+H66</f>
        <v>96.785607399999989</v>
      </c>
      <c r="I67" s="135"/>
      <c r="J67" s="135"/>
      <c r="K67" s="135"/>
      <c r="L67" s="219">
        <f>L65+L66</f>
        <v>98.197146900000007</v>
      </c>
      <c r="M67" s="139"/>
      <c r="N67" s="131">
        <f t="shared" si="18"/>
        <v>1.4115395000000177</v>
      </c>
      <c r="O67" s="104">
        <f t="shared" si="19"/>
        <v>1.4584188061829716E-2</v>
      </c>
      <c r="Q67" s="139"/>
      <c r="R67" s="212"/>
      <c r="S67" s="139"/>
      <c r="T67" s="212"/>
      <c r="U67" s="139"/>
      <c r="V67" s="212"/>
      <c r="W67" s="139"/>
    </row>
    <row r="68" spans="1:23" s="85" customFormat="1" ht="8.25" customHeight="1" thickBot="1" x14ac:dyDescent="0.25">
      <c r="B68" s="117"/>
      <c r="C68" s="118"/>
      <c r="D68" s="119"/>
      <c r="E68" s="118"/>
      <c r="F68" s="144"/>
      <c r="G68" s="145"/>
      <c r="H68" s="146"/>
      <c r="I68" s="147"/>
      <c r="J68" s="144"/>
      <c r="K68" s="120"/>
      <c r="L68" s="148"/>
      <c r="M68" s="121"/>
      <c r="N68" s="149"/>
      <c r="O68" s="95"/>
      <c r="Q68" s="143"/>
      <c r="R68" s="212"/>
      <c r="S68" s="143"/>
      <c r="T68" s="212"/>
      <c r="U68" s="143"/>
      <c r="V68" s="212"/>
      <c r="W68" s="143"/>
    </row>
    <row r="69" spans="1:23" x14ac:dyDescent="0.2">
      <c r="L69" s="150"/>
    </row>
    <row r="70" spans="1:23" x14ac:dyDescent="0.2">
      <c r="B70" s="12" t="s">
        <v>46</v>
      </c>
      <c r="F70" s="151">
        <f>'Res (100)'!F70</f>
        <v>3.3500000000000002E-2</v>
      </c>
      <c r="J70" s="151">
        <f>+'Res (100)'!J70</f>
        <v>3.3500000000000002E-2</v>
      </c>
    </row>
    <row r="72" spans="1:23" ht="13.5" customHeight="1" x14ac:dyDescent="0.2">
      <c r="Q72" s="210"/>
      <c r="R72" s="210"/>
      <c r="S72" s="6"/>
      <c r="T72" s="6"/>
      <c r="U72" s="6"/>
      <c r="V72" s="6"/>
      <c r="W72" s="6"/>
    </row>
    <row r="73" spans="1:23" ht="13.5" customHeight="1" x14ac:dyDescent="0.2">
      <c r="A73" s="6" t="s">
        <v>47</v>
      </c>
      <c r="Q73" s="210"/>
      <c r="R73" s="210"/>
      <c r="S73" s="6"/>
      <c r="T73" s="6"/>
      <c r="U73" s="6"/>
      <c r="V73" s="6"/>
      <c r="W73" s="6"/>
    </row>
    <row r="74" spans="1:23" ht="13.5" customHeight="1" x14ac:dyDescent="0.2">
      <c r="A74" s="6" t="s">
        <v>48</v>
      </c>
      <c r="Q74" s="210"/>
      <c r="R74" s="210"/>
      <c r="S74" s="6"/>
      <c r="T74" s="6"/>
      <c r="U74" s="6"/>
      <c r="V74" s="6"/>
      <c r="W74" s="6"/>
    </row>
    <row r="75" spans="1:23" ht="13.5" customHeight="1" x14ac:dyDescent="0.2">
      <c r="Q75" s="210"/>
      <c r="R75" s="210"/>
      <c r="S75" s="6"/>
      <c r="T75" s="6"/>
      <c r="U75" s="6"/>
      <c r="V75" s="6"/>
      <c r="W75" s="6"/>
    </row>
    <row r="76" spans="1:23" ht="13.5" customHeight="1" x14ac:dyDescent="0.2">
      <c r="A76" s="153" t="s">
        <v>136</v>
      </c>
      <c r="Q76" s="210"/>
      <c r="R76" s="210"/>
      <c r="S76" s="6"/>
      <c r="T76" s="6"/>
      <c r="U76" s="6"/>
      <c r="V76" s="6"/>
      <c r="W76" s="6"/>
    </row>
    <row r="77" spans="1:23" ht="13.5" customHeight="1" x14ac:dyDescent="0.2">
      <c r="A77" s="11" t="s">
        <v>49</v>
      </c>
      <c r="Q77" s="210"/>
      <c r="R77" s="210"/>
      <c r="S77" s="6"/>
      <c r="T77" s="6"/>
      <c r="U77" s="6"/>
      <c r="V77" s="6"/>
      <c r="W77" s="6"/>
    </row>
    <row r="78" spans="1:23" ht="13.5" customHeight="1" x14ac:dyDescent="0.2">
      <c r="Q78" s="210"/>
      <c r="R78" s="210"/>
      <c r="S78" s="6"/>
      <c r="T78" s="6"/>
      <c r="U78" s="6"/>
      <c r="V78" s="6"/>
      <c r="W78" s="6"/>
    </row>
    <row r="79" spans="1:23" ht="13.5" customHeight="1" x14ac:dyDescent="0.2">
      <c r="A79" s="6" t="s">
        <v>135</v>
      </c>
      <c r="Q79" s="210"/>
      <c r="R79" s="210"/>
      <c r="S79" s="6"/>
      <c r="T79" s="6"/>
      <c r="U79" s="6"/>
      <c r="V79" s="6"/>
      <c r="W79" s="6"/>
    </row>
    <row r="80" spans="1:23" ht="13.5" customHeight="1" x14ac:dyDescent="0.2">
      <c r="A80" s="6" t="s">
        <v>50</v>
      </c>
      <c r="Q80" s="210"/>
      <c r="R80" s="210"/>
      <c r="S80" s="6"/>
      <c r="T80" s="6"/>
      <c r="U80" s="6"/>
      <c r="V80" s="6"/>
      <c r="W80" s="6"/>
    </row>
    <row r="81" spans="1:23" ht="13.5" customHeight="1" x14ac:dyDescent="0.2">
      <c r="A81" s="6" t="s">
        <v>51</v>
      </c>
      <c r="Q81" s="210"/>
      <c r="R81" s="210"/>
      <c r="S81" s="6"/>
      <c r="T81" s="6"/>
      <c r="U81" s="6"/>
      <c r="V81" s="6"/>
      <c r="W81" s="6"/>
    </row>
    <row r="82" spans="1:23" ht="13.5" customHeight="1" x14ac:dyDescent="0.2">
      <c r="A82" s="6" t="s">
        <v>52</v>
      </c>
      <c r="Q82" s="210"/>
      <c r="R82" s="210"/>
      <c r="S82" s="6"/>
      <c r="T82" s="6"/>
      <c r="U82" s="6"/>
      <c r="V82" s="6"/>
      <c r="W82" s="6"/>
    </row>
    <row r="83" spans="1:23" ht="13.5" customHeight="1" x14ac:dyDescent="0.2">
      <c r="A83" s="6" t="s">
        <v>53</v>
      </c>
      <c r="Q83" s="210"/>
      <c r="R83" s="210"/>
      <c r="S83" s="6"/>
      <c r="T83" s="6"/>
      <c r="U83" s="6"/>
      <c r="V83" s="6"/>
      <c r="W83" s="6"/>
    </row>
    <row r="84" spans="1:23" ht="13.5" customHeight="1" x14ac:dyDescent="0.2">
      <c r="Q84" s="210"/>
      <c r="R84" s="210"/>
      <c r="S84" s="6"/>
      <c r="T84" s="6"/>
      <c r="U84" s="6"/>
      <c r="V84" s="6"/>
      <c r="W84" s="6"/>
    </row>
    <row r="85" spans="1:23" ht="13.5" customHeight="1" x14ac:dyDescent="0.2">
      <c r="A85" s="152"/>
      <c r="B85" s="6" t="s">
        <v>54</v>
      </c>
      <c r="Q85" s="210"/>
      <c r="R85" s="210"/>
      <c r="S85" s="6"/>
      <c r="T85" s="6"/>
      <c r="U85" s="6"/>
      <c r="V85" s="6"/>
      <c r="W85" s="6"/>
    </row>
    <row r="86" spans="1:23" ht="13.5" customHeight="1" x14ac:dyDescent="0.2">
      <c r="Q86" s="210"/>
      <c r="R86" s="210"/>
      <c r="S86" s="6"/>
      <c r="T86" s="6"/>
      <c r="U86" s="6"/>
      <c r="V86" s="6"/>
      <c r="W86" s="6"/>
    </row>
    <row r="87" spans="1:23" ht="13.5" customHeight="1" x14ac:dyDescent="0.2">
      <c r="B87" s="153" t="s">
        <v>55</v>
      </c>
      <c r="Q87" s="210"/>
      <c r="R87" s="210"/>
      <c r="S87" s="6"/>
      <c r="T87" s="6"/>
      <c r="U87" s="6"/>
      <c r="V87" s="6"/>
      <c r="W87"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68 D64 D23:D38 D48:D49 D40:D46 D51:D60">
      <formula1>"Monthly, per kWh, per kW"</formula1>
    </dataValidation>
    <dataValidation type="list" allowBlank="1" showInputMessage="1" showErrorMessage="1" sqref="E48:E49 E68 E64 E23:E38 E40:E46 E51:E60">
      <formula1>#REF!</formula1>
    </dataValidation>
  </dataValidations>
  <pageMargins left="0.74803149606299213" right="0.74803149606299213" top="0.98425196850393704" bottom="0.98425196850393704" header="0.51181102362204722" footer="0.51181102362204722"/>
  <pageSetup scale="60" fitToWidth="2" orientation="portrait" r:id="rId1"/>
  <headerFooter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1">
              <controlPr defaultSize="0" autoFill="0" autoLine="0" autoPict="0">
                <anchor moveWithCells="1">
                  <from>
                    <xdr:col>1</xdr:col>
                    <xdr:colOff>1857375</xdr:colOff>
                    <xdr:row>7</xdr:row>
                    <xdr:rowOff>19050</xdr:rowOff>
                  </from>
                  <to>
                    <xdr:col>3</xdr:col>
                    <xdr:colOff>333375</xdr:colOff>
                    <xdr:row>7</xdr:row>
                    <xdr:rowOff>114300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3</xdr:col>
                    <xdr:colOff>257175</xdr:colOff>
                    <xdr:row>6</xdr:row>
                    <xdr:rowOff>142875</xdr:rowOff>
                  </from>
                  <to>
                    <xdr:col>6</xdr:col>
                    <xdr:colOff>323850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91"/>
  <sheetViews>
    <sheetView showGridLines="0" view="pageBreakPreview" topLeftCell="A4" zoomScale="70" zoomScaleNormal="85" zoomScaleSheetLayoutView="70" workbookViewId="0">
      <pane xSplit="5" ySplit="19" topLeftCell="F50" activePane="bottomRight" state="frozen"/>
      <selection activeCell="O41" sqref="O41"/>
      <selection pane="topRight" activeCell="O41" sqref="O41"/>
      <selection pane="bottomLeft" activeCell="O41" sqref="O41"/>
      <selection pane="bottomRight" activeCell="O41" sqref="O4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9.7109375" style="6" bestFit="1" customWidth="1"/>
    <col min="7" max="7" width="9.85546875" style="6" bestFit="1" customWidth="1"/>
    <col min="8" max="8" width="12.5703125" style="6" bestFit="1" customWidth="1"/>
    <col min="9" max="9" width="2.85546875" style="6" customWidth="1"/>
    <col min="10" max="10" width="11.5703125" style="6" bestFit="1" customWidth="1"/>
    <col min="11" max="11" width="9.85546875" style="6" bestFit="1" customWidth="1"/>
    <col min="12" max="12" width="12.5703125" style="6" bestFit="1" customWidth="1"/>
    <col min="13" max="13" width="2.85546875" style="6" customWidth="1"/>
    <col min="14" max="14" width="11.85546875" style="6" bestFit="1"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7109375" style="211" bestFit="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45"/>
      <c r="O8" s="16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2</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640</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+'Res (100)'!F23</f>
        <v>12.96</v>
      </c>
      <c r="G23" s="25">
        <v>1</v>
      </c>
      <c r="H23" s="186">
        <f>G23*F23</f>
        <v>12.96</v>
      </c>
      <c r="I23" s="27"/>
      <c r="J23" s="24">
        <f>+'Res (100)'!J23</f>
        <v>16.600000000000001</v>
      </c>
      <c r="K23" s="29">
        <v>1</v>
      </c>
      <c r="L23" s="186">
        <f>K23*J23</f>
        <v>16.600000000000001</v>
      </c>
      <c r="M23" s="27"/>
      <c r="N23" s="187">
        <f>L23-H23</f>
        <v>3.6400000000000006</v>
      </c>
      <c r="O23" s="31">
        <f>IF((H23)=0,"",(N23/H23))</f>
        <v>0.28086419753086422</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+'Res (100)'!F29</f>
        <v>1.9300000000000001E-2</v>
      </c>
      <c r="G29" s="25">
        <f>$F$18</f>
        <v>640</v>
      </c>
      <c r="H29" s="186">
        <f t="shared" si="0"/>
        <v>12.352</v>
      </c>
      <c r="I29" s="27"/>
      <c r="J29" s="24">
        <f>+'Res (100)'!J29</f>
        <v>1.5100000000000001E-2</v>
      </c>
      <c r="K29" s="25">
        <f>$F$18</f>
        <v>640</v>
      </c>
      <c r="L29" s="186">
        <f t="shared" si="1"/>
        <v>9.6639999999999997</v>
      </c>
      <c r="M29" s="27"/>
      <c r="N29" s="187">
        <f t="shared" si="2"/>
        <v>-2.6880000000000006</v>
      </c>
      <c r="O29" s="31">
        <f t="shared" si="3"/>
        <v>-0.21761658031088088</v>
      </c>
      <c r="Q29" s="107"/>
      <c r="S29" s="107"/>
      <c r="U29" s="107"/>
      <c r="W29" s="107"/>
    </row>
    <row r="30" spans="2:23" x14ac:dyDescent="0.2">
      <c r="B30" s="21" t="s">
        <v>22</v>
      </c>
      <c r="C30" s="21"/>
      <c r="D30" s="22"/>
      <c r="E30" s="23"/>
      <c r="F30" s="24"/>
      <c r="G30" s="25">
        <f t="shared" ref="G30" si="4">$F$18</f>
        <v>640</v>
      </c>
      <c r="H30" s="26">
        <f t="shared" si="0"/>
        <v>0</v>
      </c>
      <c r="I30" s="27"/>
      <c r="J30" s="24"/>
      <c r="K30" s="25">
        <f t="shared" ref="K30:K38" si="5">$F$18</f>
        <v>640</v>
      </c>
      <c r="L30" s="26">
        <f t="shared" si="1"/>
        <v>0</v>
      </c>
      <c r="M30" s="27"/>
      <c r="N30" s="30">
        <f t="shared" si="2"/>
        <v>0</v>
      </c>
      <c r="O30" s="31" t="str">
        <f t="shared" si="3"/>
        <v/>
      </c>
      <c r="Q30" s="107"/>
      <c r="S30" s="107"/>
      <c r="U30" s="107"/>
      <c r="W30" s="107"/>
    </row>
    <row r="31" spans="2:23" x14ac:dyDescent="0.2">
      <c r="B31" s="21" t="s">
        <v>23</v>
      </c>
      <c r="C31" s="21"/>
      <c r="D31" s="22" t="s">
        <v>21</v>
      </c>
      <c r="E31" s="23"/>
      <c r="F31" s="24">
        <f>+'Res (100)'!F31</f>
        <v>-2.0000000000000002E-5</v>
      </c>
      <c r="G31" s="25">
        <f>$F$18</f>
        <v>640</v>
      </c>
      <c r="H31" s="26">
        <f>G31*F31</f>
        <v>-1.2800000000000001E-2</v>
      </c>
      <c r="I31" s="27"/>
      <c r="J31" s="52">
        <f>+'Res (100)'!J31</f>
        <v>0</v>
      </c>
      <c r="K31" s="25">
        <f t="shared" si="5"/>
        <v>640</v>
      </c>
      <c r="L31" s="26">
        <f t="shared" si="1"/>
        <v>0</v>
      </c>
      <c r="M31" s="27"/>
      <c r="N31" s="30">
        <f t="shared" si="2"/>
        <v>1.2800000000000001E-2</v>
      </c>
      <c r="O31" s="31">
        <f t="shared" si="3"/>
        <v>-1</v>
      </c>
      <c r="Q31" s="107"/>
      <c r="S31" s="107"/>
      <c r="U31" s="107"/>
      <c r="W31" s="107"/>
    </row>
    <row r="32" spans="2:23" x14ac:dyDescent="0.2">
      <c r="B32" s="33"/>
      <c r="C32" s="21"/>
      <c r="D32" s="22"/>
      <c r="E32" s="23"/>
      <c r="F32" s="24"/>
      <c r="G32" s="25">
        <f t="shared" ref="G32:G38" si="6">$F$18</f>
        <v>640</v>
      </c>
      <c r="H32" s="26">
        <f t="shared" si="0"/>
        <v>0</v>
      </c>
      <c r="I32" s="27"/>
      <c r="J32" s="28"/>
      <c r="K32" s="25">
        <f t="shared" si="5"/>
        <v>640</v>
      </c>
      <c r="L32" s="26">
        <f t="shared" si="1"/>
        <v>0</v>
      </c>
      <c r="M32" s="27"/>
      <c r="N32" s="30">
        <f t="shared" si="2"/>
        <v>0</v>
      </c>
      <c r="O32" s="31" t="str">
        <f t="shared" si="3"/>
        <v/>
      </c>
      <c r="Q32" s="107"/>
      <c r="S32" s="107"/>
      <c r="U32" s="107"/>
      <c r="W32" s="107"/>
    </row>
    <row r="33" spans="2:23" x14ac:dyDescent="0.2">
      <c r="B33" s="33"/>
      <c r="C33" s="21"/>
      <c r="D33" s="22"/>
      <c r="E33" s="23"/>
      <c r="F33" s="24"/>
      <c r="G33" s="25">
        <f t="shared" si="6"/>
        <v>640</v>
      </c>
      <c r="H33" s="26">
        <f t="shared" si="0"/>
        <v>0</v>
      </c>
      <c r="I33" s="27"/>
      <c r="J33" s="28"/>
      <c r="K33" s="25">
        <f t="shared" si="5"/>
        <v>640</v>
      </c>
      <c r="L33" s="26">
        <f t="shared" si="1"/>
        <v>0</v>
      </c>
      <c r="M33" s="27"/>
      <c r="N33" s="30">
        <f t="shared" si="2"/>
        <v>0</v>
      </c>
      <c r="O33" s="31" t="str">
        <f t="shared" si="3"/>
        <v/>
      </c>
      <c r="Q33" s="107"/>
      <c r="S33" s="107"/>
      <c r="U33" s="107"/>
      <c r="W33" s="107"/>
    </row>
    <row r="34" spans="2:23" x14ac:dyDescent="0.2">
      <c r="B34" s="33"/>
      <c r="C34" s="21"/>
      <c r="D34" s="22"/>
      <c r="E34" s="23"/>
      <c r="F34" s="24"/>
      <c r="G34" s="25">
        <f t="shared" si="6"/>
        <v>640</v>
      </c>
      <c r="H34" s="26">
        <f t="shared" si="0"/>
        <v>0</v>
      </c>
      <c r="I34" s="27"/>
      <c r="J34" s="28"/>
      <c r="K34" s="25">
        <f t="shared" si="5"/>
        <v>640</v>
      </c>
      <c r="L34" s="26">
        <f t="shared" si="1"/>
        <v>0</v>
      </c>
      <c r="M34" s="27"/>
      <c r="N34" s="30">
        <f t="shared" si="2"/>
        <v>0</v>
      </c>
      <c r="O34" s="31" t="str">
        <f t="shared" si="3"/>
        <v/>
      </c>
      <c r="Q34" s="107"/>
      <c r="S34" s="107"/>
      <c r="U34" s="107"/>
      <c r="W34" s="107"/>
    </row>
    <row r="35" spans="2:23" x14ac:dyDescent="0.2">
      <c r="B35" s="33"/>
      <c r="C35" s="21"/>
      <c r="D35" s="22"/>
      <c r="E35" s="23"/>
      <c r="F35" s="24"/>
      <c r="G35" s="25">
        <f t="shared" si="6"/>
        <v>640</v>
      </c>
      <c r="H35" s="26">
        <f t="shared" si="0"/>
        <v>0</v>
      </c>
      <c r="I35" s="27"/>
      <c r="J35" s="28"/>
      <c r="K35" s="25">
        <f t="shared" si="5"/>
        <v>640</v>
      </c>
      <c r="L35" s="26">
        <f t="shared" si="1"/>
        <v>0</v>
      </c>
      <c r="M35" s="27"/>
      <c r="N35" s="30">
        <f t="shared" si="2"/>
        <v>0</v>
      </c>
      <c r="O35" s="31" t="str">
        <f t="shared" si="3"/>
        <v/>
      </c>
      <c r="Q35" s="107"/>
      <c r="S35" s="107"/>
      <c r="U35" s="107"/>
      <c r="W35" s="107"/>
    </row>
    <row r="36" spans="2:23" x14ac:dyDescent="0.2">
      <c r="B36" s="33"/>
      <c r="C36" s="21"/>
      <c r="D36" s="22"/>
      <c r="E36" s="23"/>
      <c r="F36" s="24"/>
      <c r="G36" s="25">
        <f t="shared" si="6"/>
        <v>640</v>
      </c>
      <c r="H36" s="26">
        <f t="shared" si="0"/>
        <v>0</v>
      </c>
      <c r="I36" s="27"/>
      <c r="J36" s="28"/>
      <c r="K36" s="25">
        <f t="shared" si="5"/>
        <v>640</v>
      </c>
      <c r="L36" s="26">
        <f t="shared" si="1"/>
        <v>0</v>
      </c>
      <c r="M36" s="27"/>
      <c r="N36" s="30">
        <f t="shared" si="2"/>
        <v>0</v>
      </c>
      <c r="O36" s="31" t="str">
        <f t="shared" si="3"/>
        <v/>
      </c>
      <c r="Q36" s="107"/>
      <c r="S36" s="107"/>
      <c r="U36" s="107"/>
      <c r="W36" s="107"/>
    </row>
    <row r="37" spans="2:23" x14ac:dyDescent="0.2">
      <c r="B37" s="33"/>
      <c r="C37" s="21"/>
      <c r="D37" s="22"/>
      <c r="E37" s="23"/>
      <c r="F37" s="24"/>
      <c r="G37" s="25">
        <f t="shared" si="6"/>
        <v>640</v>
      </c>
      <c r="H37" s="26">
        <f t="shared" si="0"/>
        <v>0</v>
      </c>
      <c r="I37" s="27"/>
      <c r="J37" s="28"/>
      <c r="K37" s="25">
        <f t="shared" si="5"/>
        <v>640</v>
      </c>
      <c r="L37" s="26">
        <f t="shared" si="1"/>
        <v>0</v>
      </c>
      <c r="M37" s="27"/>
      <c r="N37" s="30">
        <f t="shared" si="2"/>
        <v>0</v>
      </c>
      <c r="O37" s="31" t="str">
        <f t="shared" si="3"/>
        <v/>
      </c>
      <c r="Q37" s="107"/>
      <c r="S37" s="107"/>
      <c r="U37" s="107"/>
      <c r="W37" s="107"/>
    </row>
    <row r="38" spans="2:23" x14ac:dyDescent="0.2">
      <c r="B38" s="33"/>
      <c r="C38" s="21"/>
      <c r="D38" s="22"/>
      <c r="E38" s="23"/>
      <c r="F38" s="24"/>
      <c r="G38" s="25">
        <f t="shared" si="6"/>
        <v>640</v>
      </c>
      <c r="H38" s="26">
        <f t="shared" si="0"/>
        <v>0</v>
      </c>
      <c r="I38" s="27"/>
      <c r="J38" s="28"/>
      <c r="K38" s="25">
        <f t="shared" si="5"/>
        <v>640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25.299200000000003</v>
      </c>
      <c r="I39" s="40"/>
      <c r="J39" s="41"/>
      <c r="K39" s="42"/>
      <c r="L39" s="39">
        <f>SUM(L23:L38)</f>
        <v>26.264000000000003</v>
      </c>
      <c r="M39" s="40"/>
      <c r="N39" s="43">
        <f t="shared" si="2"/>
        <v>0.96480000000000032</v>
      </c>
      <c r="O39" s="44">
        <f t="shared" si="3"/>
        <v>3.8135593220338992E-2</v>
      </c>
      <c r="Q39" s="107"/>
      <c r="R39" s="211"/>
      <c r="S39" s="107"/>
      <c r="T39" s="211"/>
      <c r="U39" s="107"/>
      <c r="V39" s="211"/>
      <c r="W39" s="107"/>
    </row>
    <row r="40" spans="2:23" ht="38.25" x14ac:dyDescent="0.2">
      <c r="B40" s="46" t="str">
        <f>+'Res (100)'!B40</f>
        <v>Deferral/Variance Account Disposition Rate Rider Group 1</v>
      </c>
      <c r="C40" s="21"/>
      <c r="D40" s="22" t="s">
        <v>21</v>
      </c>
      <c r="E40" s="23"/>
      <c r="F40" s="24">
        <f>'Res (100)'!F40</f>
        <v>-8.2600000000000002E-4</v>
      </c>
      <c r="G40" s="25">
        <f>$F$18</f>
        <v>640</v>
      </c>
      <c r="H40" s="26">
        <f>G40*F40</f>
        <v>-0.52864</v>
      </c>
      <c r="I40" s="27"/>
      <c r="J40" s="28">
        <f>+'Res (100)'!J40</f>
        <v>-1E-4</v>
      </c>
      <c r="K40" s="25">
        <f>$F$18</f>
        <v>640</v>
      </c>
      <c r="L40" s="26">
        <f>K40*J40</f>
        <v>-6.4000000000000001E-2</v>
      </c>
      <c r="M40" s="27"/>
      <c r="N40" s="30">
        <f>L40-H40</f>
        <v>0.46464</v>
      </c>
      <c r="O40" s="31">
        <f>IF((H40)=0,"",(N40/H40))</f>
        <v>-0.87893462469733652</v>
      </c>
      <c r="Q40" s="107"/>
      <c r="S40" s="107"/>
      <c r="U40" s="107"/>
      <c r="W40" s="107"/>
    </row>
    <row r="41" spans="2:23" ht="38.25" x14ac:dyDescent="0.2">
      <c r="B41" s="46" t="str">
        <f>+'Res (100)'!B41</f>
        <v>Deferral/Variance Account Disposition Rate Rider Group 2</v>
      </c>
      <c r="C41" s="21"/>
      <c r="D41" s="22" t="s">
        <v>18</v>
      </c>
      <c r="E41" s="23"/>
      <c r="F41" s="24">
        <f>'Res (100)'!F41</f>
        <v>0.32</v>
      </c>
      <c r="G41" s="25">
        <v>1</v>
      </c>
      <c r="H41" s="26">
        <f t="shared" ref="H41:H45" si="7">G41*F41</f>
        <v>0.32</v>
      </c>
      <c r="I41" s="47"/>
      <c r="J41" s="28">
        <f>+'Res (100)'!J41</f>
        <v>0.02</v>
      </c>
      <c r="K41" s="25">
        <v>1</v>
      </c>
      <c r="L41" s="26">
        <f t="shared" ref="L41:L45" si="8">K41*J41</f>
        <v>0.02</v>
      </c>
      <c r="M41" s="48"/>
      <c r="N41" s="30">
        <f t="shared" ref="N41:N45" si="9">L41-H41</f>
        <v>-0.3</v>
      </c>
      <c r="O41" s="31">
        <f t="shared" ref="O41:O63" si="10">IF((H41)=0,"",(N41/H41))</f>
        <v>-0.9375</v>
      </c>
      <c r="Q41" s="107"/>
      <c r="S41" s="107"/>
      <c r="U41" s="107"/>
      <c r="W41" s="107"/>
    </row>
    <row r="42" spans="2:23" ht="38.25" x14ac:dyDescent="0.2">
      <c r="B42" s="46" t="str">
        <f>+'Res (100)'!B42</f>
        <v>Deferral / Variance Accounts Balances (excluding Global Adj.) - NON-WMP</v>
      </c>
      <c r="C42" s="21"/>
      <c r="D42" s="22" t="s">
        <v>21</v>
      </c>
      <c r="E42" s="23"/>
      <c r="F42" s="24">
        <f>'Res (232)'!F42</f>
        <v>-1.5089999999999999E-3</v>
      </c>
      <c r="G42" s="25">
        <f t="shared" ref="G42:G43" si="11">$F$18</f>
        <v>640</v>
      </c>
      <c r="H42" s="26">
        <f t="shared" si="7"/>
        <v>-0.96575999999999995</v>
      </c>
      <c r="I42" s="47"/>
      <c r="J42" s="28">
        <f>+'Res (100)'!J42</f>
        <v>-2.3E-3</v>
      </c>
      <c r="K42" s="25">
        <f t="shared" ref="K42:K43" si="12">$F$18</f>
        <v>640</v>
      </c>
      <c r="L42" s="26">
        <f t="shared" si="8"/>
        <v>-1.472</v>
      </c>
      <c r="M42" s="48"/>
      <c r="N42" s="30">
        <f t="shared" si="9"/>
        <v>-0.50624000000000002</v>
      </c>
      <c r="O42" s="31">
        <f t="shared" si="10"/>
        <v>0.52418820410868128</v>
      </c>
      <c r="Q42" s="107"/>
      <c r="S42" s="107"/>
      <c r="U42" s="107"/>
      <c r="W42" s="107"/>
    </row>
    <row r="43" spans="2:23" ht="38.25" x14ac:dyDescent="0.2">
      <c r="B43" s="46" t="s">
        <v>128</v>
      </c>
      <c r="C43" s="21"/>
      <c r="D43" s="22" t="s">
        <v>21</v>
      </c>
      <c r="E43" s="23"/>
      <c r="F43" s="24">
        <f>+'Res (100)'!F43</f>
        <v>0</v>
      </c>
      <c r="G43" s="25">
        <f t="shared" si="11"/>
        <v>640</v>
      </c>
      <c r="H43" s="26">
        <f t="shared" si="7"/>
        <v>0</v>
      </c>
      <c r="I43" s="47"/>
      <c r="J43" s="233">
        <f>+'Res (100)'!J43</f>
        <v>2.7E-4</v>
      </c>
      <c r="K43" s="25">
        <f t="shared" si="12"/>
        <v>640</v>
      </c>
      <c r="L43" s="26">
        <f t="shared" si="8"/>
        <v>0.17280000000000001</v>
      </c>
      <c r="M43" s="48"/>
      <c r="N43" s="30">
        <f t="shared" si="9"/>
        <v>0.17280000000000001</v>
      </c>
      <c r="O43" s="31" t="str">
        <f t="shared" si="10"/>
        <v/>
      </c>
      <c r="Q43" s="107"/>
      <c r="S43" s="107"/>
      <c r="U43" s="107"/>
      <c r="W43" s="107"/>
    </row>
    <row r="44" spans="2:23" x14ac:dyDescent="0.2">
      <c r="B44" s="49" t="s">
        <v>26</v>
      </c>
      <c r="C44" s="21"/>
      <c r="D44" s="22" t="s">
        <v>21</v>
      </c>
      <c r="E44" s="23"/>
      <c r="F44" s="50">
        <f>'Res (100)'!F44</f>
        <v>6.9999999999999994E-5</v>
      </c>
      <c r="G44" s="51">
        <f>$F$18*(1+F70)</f>
        <v>661.44</v>
      </c>
      <c r="H44" s="26">
        <f>G44*F44</f>
        <v>4.6300800000000003E-2</v>
      </c>
      <c r="I44" s="27"/>
      <c r="J44" s="52">
        <f>'Res (100)'!J44</f>
        <v>6.9999999999999994E-5</v>
      </c>
      <c r="K44" s="51">
        <f>$F$18*(1+J70)</f>
        <v>661.44</v>
      </c>
      <c r="L44" s="26">
        <f>K44*J44</f>
        <v>4.6300800000000003E-2</v>
      </c>
      <c r="M44" s="27"/>
      <c r="N44" s="30">
        <f>L44-H44</f>
        <v>0</v>
      </c>
      <c r="O44" s="31">
        <f>IF((H44)=0,"",(N44/H44))</f>
        <v>0</v>
      </c>
      <c r="Q44" s="107"/>
      <c r="S44" s="107"/>
      <c r="U44" s="107"/>
      <c r="W44" s="107"/>
    </row>
    <row r="45" spans="2:23" x14ac:dyDescent="0.2">
      <c r="B45" s="49" t="s">
        <v>27</v>
      </c>
      <c r="C45" s="21"/>
      <c r="D45" s="22"/>
      <c r="E45" s="23"/>
      <c r="F45" s="53">
        <f>IF(ISBLANK(D16)=TRUE, 0, IF(D16="TOU", 0.65*$F$55+0.17*$F$56+0.18*$F$57, IF(AND(D16="non-TOU", G59&gt;0), F59,F58)))</f>
        <v>0.11139</v>
      </c>
      <c r="G45" s="54">
        <f>$F$18*(1+$F$70)-$F$18</f>
        <v>21.440000000000055</v>
      </c>
      <c r="H45" s="26">
        <f t="shared" si="7"/>
        <v>2.3882016000000061</v>
      </c>
      <c r="I45" s="27"/>
      <c r="J45" s="55">
        <f>0.65*$J$55+0.17*$J$56+0.18*$J$57</f>
        <v>0.11139</v>
      </c>
      <c r="K45" s="54">
        <f>$F$18*(1+$J$70)-$F$18</f>
        <v>21.440000000000055</v>
      </c>
      <c r="L45" s="26">
        <f t="shared" si="8"/>
        <v>2.3882016000000061</v>
      </c>
      <c r="M45" s="27"/>
      <c r="N45" s="30">
        <f t="shared" si="9"/>
        <v>0</v>
      </c>
      <c r="O45" s="31">
        <f t="shared" si="10"/>
        <v>0</v>
      </c>
      <c r="Q45" s="107"/>
      <c r="S45" s="107"/>
      <c r="U45" s="107"/>
      <c r="W45" s="107"/>
    </row>
    <row r="46" spans="2:23" x14ac:dyDescent="0.2">
      <c r="B46" s="49" t="s">
        <v>28</v>
      </c>
      <c r="C46" s="21"/>
      <c r="D46" s="22" t="s">
        <v>18</v>
      </c>
      <c r="E46" s="23"/>
      <c r="F46" s="53">
        <f>'Res (100)'!F46</f>
        <v>0.79</v>
      </c>
      <c r="G46" s="25">
        <v>1</v>
      </c>
      <c r="H46" s="26">
        <f>G46*F46</f>
        <v>0.79</v>
      </c>
      <c r="I46" s="27"/>
      <c r="J46" s="53">
        <f>'Res (100)'!J46</f>
        <v>0.79</v>
      </c>
      <c r="K46" s="25">
        <v>1</v>
      </c>
      <c r="L46" s="26">
        <f>K46*J46</f>
        <v>0.79</v>
      </c>
      <c r="M46" s="27"/>
      <c r="N46" s="30">
        <f>L46-H46</f>
        <v>0</v>
      </c>
      <c r="O46" s="31">
        <f t="shared" si="10"/>
        <v>0</v>
      </c>
      <c r="Q46" s="107"/>
      <c r="S46" s="107"/>
      <c r="U46" s="107"/>
      <c r="W46" s="107"/>
    </row>
    <row r="47" spans="2:23" ht="25.5" x14ac:dyDescent="0.2">
      <c r="B47" s="56" t="s">
        <v>29</v>
      </c>
      <c r="C47" s="57"/>
      <c r="D47" s="57"/>
      <c r="E47" s="57"/>
      <c r="F47" s="58"/>
      <c r="G47" s="59"/>
      <c r="H47" s="60">
        <f>SUM(H40:H46)+H39</f>
        <v>27.34930240000001</v>
      </c>
      <c r="I47" s="40"/>
      <c r="J47" s="59"/>
      <c r="K47" s="61"/>
      <c r="L47" s="60">
        <f>SUM(L40:L46)+L39</f>
        <v>28.145302400000009</v>
      </c>
      <c r="M47" s="40"/>
      <c r="N47" s="43">
        <f t="shared" ref="N47:N63" si="13">L47-H47</f>
        <v>0.79599999999999937</v>
      </c>
      <c r="O47" s="44">
        <f t="shared" si="10"/>
        <v>2.9104947115579777E-2</v>
      </c>
      <c r="Q47" s="107"/>
      <c r="S47" s="107"/>
      <c r="U47" s="107"/>
      <c r="W47" s="107"/>
    </row>
    <row r="48" spans="2:23" x14ac:dyDescent="0.2">
      <c r="B48" s="27" t="s">
        <v>30</v>
      </c>
      <c r="C48" s="27"/>
      <c r="D48" s="62" t="s">
        <v>21</v>
      </c>
      <c r="E48" s="63"/>
      <c r="F48" s="28">
        <f>'Res (100)'!F48</f>
        <v>7.6E-3</v>
      </c>
      <c r="G48" s="64">
        <f>F18*(1+F70)</f>
        <v>661.44</v>
      </c>
      <c r="H48" s="26">
        <f>G48*F48</f>
        <v>5.0269440000000003</v>
      </c>
      <c r="I48" s="27"/>
      <c r="J48" s="28">
        <f>'Res (100)'!J48</f>
        <v>7.4000000000000003E-3</v>
      </c>
      <c r="K48" s="65">
        <f>F18*(1+J70)</f>
        <v>661.44</v>
      </c>
      <c r="L48" s="26">
        <f>K48*J48</f>
        <v>4.8946560000000003</v>
      </c>
      <c r="M48" s="27"/>
      <c r="N48" s="30">
        <f t="shared" si="13"/>
        <v>-0.13228799999999996</v>
      </c>
      <c r="O48" s="31">
        <f t="shared" si="10"/>
        <v>-2.6315789473684202E-2</v>
      </c>
      <c r="Q48" s="107"/>
      <c r="S48" s="107"/>
      <c r="U48" s="107"/>
      <c r="W48" s="107"/>
    </row>
    <row r="49" spans="2:23" ht="25.5" x14ac:dyDescent="0.2">
      <c r="B49" s="66" t="s">
        <v>31</v>
      </c>
      <c r="C49" s="27"/>
      <c r="D49" s="62" t="s">
        <v>21</v>
      </c>
      <c r="E49" s="63"/>
      <c r="F49" s="28">
        <f>'Res (100)'!F49</f>
        <v>4.7000000000000002E-3</v>
      </c>
      <c r="G49" s="64">
        <f>G48</f>
        <v>661.44</v>
      </c>
      <c r="H49" s="26">
        <f>G49*F49</f>
        <v>3.1087680000000004</v>
      </c>
      <c r="I49" s="27"/>
      <c r="J49" s="28">
        <f>'Res (100)'!J49</f>
        <v>4.7000000000000002E-3</v>
      </c>
      <c r="K49" s="65">
        <f>K48</f>
        <v>661.44</v>
      </c>
      <c r="L49" s="26">
        <f>K49*J49</f>
        <v>3.1087680000000004</v>
      </c>
      <c r="M49" s="27"/>
      <c r="N49" s="30">
        <f t="shared" si="13"/>
        <v>0</v>
      </c>
      <c r="O49" s="31">
        <f t="shared" si="10"/>
        <v>0</v>
      </c>
      <c r="Q49" s="107"/>
      <c r="S49" s="107"/>
      <c r="U49" s="107"/>
      <c r="W49" s="107"/>
    </row>
    <row r="50" spans="2:23" ht="25.5" x14ac:dyDescent="0.2">
      <c r="B50" s="56" t="s">
        <v>32</v>
      </c>
      <c r="C50" s="35"/>
      <c r="D50" s="35"/>
      <c r="E50" s="35"/>
      <c r="F50" s="67"/>
      <c r="G50" s="59"/>
      <c r="H50" s="60">
        <f>SUM(H47:H49)</f>
        <v>35.485014400000011</v>
      </c>
      <c r="I50" s="68"/>
      <c r="J50" s="69"/>
      <c r="K50" s="70"/>
      <c r="L50" s="60">
        <f>SUM(L47:L49)</f>
        <v>36.148726400000008</v>
      </c>
      <c r="M50" s="68"/>
      <c r="N50" s="43">
        <f t="shared" si="13"/>
        <v>0.66371199999999675</v>
      </c>
      <c r="O50" s="44">
        <f t="shared" si="10"/>
        <v>1.8704008191130859E-2</v>
      </c>
      <c r="Q50" s="102"/>
      <c r="S50" s="102"/>
      <c r="U50" s="102"/>
      <c r="W50" s="102"/>
    </row>
    <row r="51" spans="2:23" ht="25.5" x14ac:dyDescent="0.2">
      <c r="B51" s="71" t="s">
        <v>33</v>
      </c>
      <c r="C51" s="21"/>
      <c r="D51" s="22" t="s">
        <v>21</v>
      </c>
      <c r="E51" s="23"/>
      <c r="F51" s="72">
        <f>'Res (100)'!F51</f>
        <v>3.5999999999999999E-3</v>
      </c>
      <c r="G51" s="64">
        <f>G49</f>
        <v>661.44</v>
      </c>
      <c r="H51" s="73">
        <f t="shared" ref="H51:H57" si="14">G51*F51</f>
        <v>2.3811840000000002</v>
      </c>
      <c r="I51" s="27"/>
      <c r="J51" s="72">
        <f>F51</f>
        <v>3.5999999999999999E-3</v>
      </c>
      <c r="K51" s="65">
        <f>K49</f>
        <v>661.44</v>
      </c>
      <c r="L51" s="73">
        <f t="shared" ref="L51:L57" si="15">K51*J51</f>
        <v>2.3811840000000002</v>
      </c>
      <c r="M51" s="27"/>
      <c r="N51" s="30">
        <f t="shared" si="13"/>
        <v>0</v>
      </c>
      <c r="O51" s="74">
        <f t="shared" si="10"/>
        <v>0</v>
      </c>
      <c r="Q51" s="107"/>
      <c r="S51" s="107"/>
      <c r="U51" s="107"/>
      <c r="W51" s="107"/>
    </row>
    <row r="52" spans="2:23" ht="25.5" x14ac:dyDescent="0.2">
      <c r="B52" s="71" t="s">
        <v>34</v>
      </c>
      <c r="C52" s="21"/>
      <c r="D52" s="22" t="s">
        <v>21</v>
      </c>
      <c r="E52" s="23"/>
      <c r="F52" s="72">
        <f>'Res (100)'!F52</f>
        <v>1.2999999999999999E-3</v>
      </c>
      <c r="G52" s="64">
        <f>G49</f>
        <v>661.44</v>
      </c>
      <c r="H52" s="73">
        <f t="shared" si="14"/>
        <v>0.85987200000000008</v>
      </c>
      <c r="I52" s="27"/>
      <c r="J52" s="72">
        <f>F52</f>
        <v>1.2999999999999999E-3</v>
      </c>
      <c r="K52" s="65">
        <f>K49</f>
        <v>661.44</v>
      </c>
      <c r="L52" s="73">
        <f t="shared" si="15"/>
        <v>0.85987200000000008</v>
      </c>
      <c r="M52" s="27"/>
      <c r="N52" s="30">
        <f t="shared" si="13"/>
        <v>0</v>
      </c>
      <c r="O52" s="74">
        <f t="shared" si="10"/>
        <v>0</v>
      </c>
      <c r="Q52" s="107"/>
      <c r="S52" s="107"/>
      <c r="U52" s="107"/>
      <c r="W52" s="107"/>
    </row>
    <row r="53" spans="2:23" x14ac:dyDescent="0.2">
      <c r="B53" s="21" t="s">
        <v>35</v>
      </c>
      <c r="C53" s="21"/>
      <c r="D53" s="22" t="s">
        <v>18</v>
      </c>
      <c r="E53" s="23"/>
      <c r="F53" s="72">
        <f>'Res (100)'!F53</f>
        <v>0.25</v>
      </c>
      <c r="G53" s="25">
        <v>1</v>
      </c>
      <c r="H53" s="73">
        <f t="shared" si="14"/>
        <v>0.25</v>
      </c>
      <c r="I53" s="27"/>
      <c r="J53" s="72">
        <f>F53</f>
        <v>0.25</v>
      </c>
      <c r="K53" s="29">
        <v>1</v>
      </c>
      <c r="L53" s="73">
        <f t="shared" si="15"/>
        <v>0.25</v>
      </c>
      <c r="M53" s="27"/>
      <c r="N53" s="30">
        <f t="shared" si="13"/>
        <v>0</v>
      </c>
      <c r="O53" s="74">
        <f t="shared" si="10"/>
        <v>0</v>
      </c>
      <c r="Q53" s="107"/>
      <c r="S53" s="107"/>
      <c r="U53" s="107"/>
      <c r="W53" s="107"/>
    </row>
    <row r="54" spans="2:23" x14ac:dyDescent="0.2">
      <c r="B54" s="21" t="s">
        <v>122</v>
      </c>
      <c r="C54" s="21"/>
      <c r="D54" s="22"/>
      <c r="E54" s="23"/>
      <c r="F54" s="72">
        <f>'Res (100)'!F54</f>
        <v>1.1000000000000001E-3</v>
      </c>
      <c r="G54" s="64">
        <f>$F$18*(1+F70)</f>
        <v>661.44</v>
      </c>
      <c r="H54" s="73">
        <f>G54*F54</f>
        <v>0.72758400000000012</v>
      </c>
      <c r="I54" s="27"/>
      <c r="J54" s="72">
        <f>'Res (100)'!J54</f>
        <v>1.1000000000000001E-3</v>
      </c>
      <c r="K54" s="65">
        <f>$F$18*(1+J70)</f>
        <v>661.44</v>
      </c>
      <c r="L54" s="73">
        <f>K54*J54</f>
        <v>0.72758400000000012</v>
      </c>
      <c r="M54" s="27"/>
      <c r="N54" s="30"/>
      <c r="O54" s="74"/>
      <c r="Q54" s="107"/>
      <c r="S54" s="107"/>
      <c r="U54" s="107"/>
      <c r="W54" s="107"/>
    </row>
    <row r="55" spans="2:23" x14ac:dyDescent="0.2">
      <c r="B55" s="49" t="s">
        <v>37</v>
      </c>
      <c r="C55" s="21"/>
      <c r="D55" s="22"/>
      <c r="E55" s="23"/>
      <c r="F55" s="72">
        <f>'Res (100)'!F55</f>
        <v>8.6999999999999994E-2</v>
      </c>
      <c r="G55" s="77">
        <f>0.65*$F$18</f>
        <v>416</v>
      </c>
      <c r="H55" s="73">
        <f t="shared" si="14"/>
        <v>36.192</v>
      </c>
      <c r="I55" s="27"/>
      <c r="J55" s="72">
        <f>F55</f>
        <v>8.6999999999999994E-2</v>
      </c>
      <c r="K55" s="77">
        <f>$G$55</f>
        <v>416</v>
      </c>
      <c r="L55" s="73">
        <f t="shared" si="15"/>
        <v>36.192</v>
      </c>
      <c r="M55" s="27"/>
      <c r="N55" s="30">
        <f t="shared" si="13"/>
        <v>0</v>
      </c>
      <c r="O55" s="74">
        <f t="shared" si="10"/>
        <v>0</v>
      </c>
      <c r="Q55" s="107"/>
      <c r="S55" s="107"/>
      <c r="U55" s="107"/>
      <c r="W55" s="107"/>
    </row>
    <row r="56" spans="2:23" x14ac:dyDescent="0.2">
      <c r="B56" s="49" t="s">
        <v>38</v>
      </c>
      <c r="C56" s="21"/>
      <c r="D56" s="22"/>
      <c r="E56" s="23"/>
      <c r="F56" s="72">
        <f>'Res (100)'!F56</f>
        <v>0.13200000000000001</v>
      </c>
      <c r="G56" s="77">
        <f>0.17*$F$18</f>
        <v>108.80000000000001</v>
      </c>
      <c r="H56" s="73">
        <f t="shared" si="14"/>
        <v>14.361600000000003</v>
      </c>
      <c r="I56" s="27"/>
      <c r="J56" s="72">
        <f>F56</f>
        <v>0.13200000000000001</v>
      </c>
      <c r="K56" s="77">
        <f>$G$56</f>
        <v>108.80000000000001</v>
      </c>
      <c r="L56" s="73">
        <f t="shared" si="15"/>
        <v>14.361600000000003</v>
      </c>
      <c r="M56" s="27"/>
      <c r="N56" s="30">
        <f t="shared" si="13"/>
        <v>0</v>
      </c>
      <c r="O56" s="74">
        <f t="shared" si="10"/>
        <v>0</v>
      </c>
      <c r="Q56" s="107"/>
      <c r="S56" s="107"/>
      <c r="U56" s="107"/>
      <c r="W56" s="107"/>
    </row>
    <row r="57" spans="2:23" x14ac:dyDescent="0.2">
      <c r="B57" s="11" t="s">
        <v>39</v>
      </c>
      <c r="C57" s="21"/>
      <c r="D57" s="22"/>
      <c r="E57" s="23"/>
      <c r="F57" s="72">
        <f>'Res (100)'!F57</f>
        <v>0.18</v>
      </c>
      <c r="G57" s="77">
        <f>0.18*$F$18</f>
        <v>115.19999999999999</v>
      </c>
      <c r="H57" s="73">
        <f t="shared" si="14"/>
        <v>20.735999999999997</v>
      </c>
      <c r="I57" s="27"/>
      <c r="J57" s="72">
        <f>F57</f>
        <v>0.18</v>
      </c>
      <c r="K57" s="77">
        <f>$G$57</f>
        <v>115.19999999999999</v>
      </c>
      <c r="L57" s="73">
        <f t="shared" si="15"/>
        <v>20.735999999999997</v>
      </c>
      <c r="M57" s="27"/>
      <c r="N57" s="30">
        <f t="shared" si="13"/>
        <v>0</v>
      </c>
      <c r="O57" s="74">
        <f t="shared" si="10"/>
        <v>0</v>
      </c>
      <c r="Q57" s="107"/>
      <c r="S57" s="107"/>
      <c r="U57" s="107"/>
      <c r="W57" s="107"/>
    </row>
    <row r="58" spans="2:23" s="85" customFormat="1" x14ac:dyDescent="0.2">
      <c r="B58" s="78" t="s">
        <v>40</v>
      </c>
      <c r="C58" s="79"/>
      <c r="D58" s="80"/>
      <c r="E58" s="81"/>
      <c r="F58" s="72">
        <f>'Res (100)'!F58</f>
        <v>0.10299999999999999</v>
      </c>
      <c r="G58" s="82">
        <f>IF(AND($Q$1=1, F18&gt;=600), 600, IF(AND($Q$1=1, AND(F18&lt;600, F18&gt;=0)), F18, IF(AND($Q$1=2, F18&gt;=1000), 1000, IF(AND($Q$1=2, AND(F18&lt;1000, F18&gt;=0)), F18))))</f>
        <v>600</v>
      </c>
      <c r="H58" s="73">
        <f>G58*F58</f>
        <v>61.8</v>
      </c>
      <c r="I58" s="83"/>
      <c r="J58" s="72">
        <f>F58</f>
        <v>0.10299999999999999</v>
      </c>
      <c r="K58" s="82">
        <f>$G$58</f>
        <v>600</v>
      </c>
      <c r="L58" s="73">
        <f>K58*J58</f>
        <v>61.8</v>
      </c>
      <c r="M58" s="83"/>
      <c r="N58" s="84">
        <f t="shared" si="13"/>
        <v>0</v>
      </c>
      <c r="O58" s="74">
        <f t="shared" si="10"/>
        <v>0</v>
      </c>
      <c r="Q58" s="143"/>
      <c r="R58" s="212"/>
      <c r="S58" s="143"/>
      <c r="T58" s="212"/>
      <c r="U58" s="143"/>
      <c r="V58" s="212"/>
      <c r="W58" s="143"/>
    </row>
    <row r="59" spans="2:23" s="85" customFormat="1" ht="13.5" thickBot="1" x14ac:dyDescent="0.25">
      <c r="B59" s="78" t="s">
        <v>41</v>
      </c>
      <c r="C59" s="79"/>
      <c r="D59" s="80"/>
      <c r="E59" s="81"/>
      <c r="F59" s="72">
        <f>'Res (100)'!F59</f>
        <v>0.121</v>
      </c>
      <c r="G59" s="82">
        <f>IF(AND($Q$1=1, F18&gt;=600), F18-600, IF(AND($Q$1=1, AND(F18&lt;600, F18&gt;=0)), 0, IF(AND($Q$1=2, F18&gt;=1000), F18-1000, IF(AND($Q$1=2, AND(F18&lt;1000, F18&gt;=0)), 0))))</f>
        <v>40</v>
      </c>
      <c r="H59" s="73">
        <f>G59*F59</f>
        <v>4.84</v>
      </c>
      <c r="I59" s="83"/>
      <c r="J59" s="72">
        <f>F59</f>
        <v>0.121</v>
      </c>
      <c r="K59" s="82">
        <f>$G$59</f>
        <v>40</v>
      </c>
      <c r="L59" s="73">
        <f>K59*J59</f>
        <v>4.84</v>
      </c>
      <c r="M59" s="83"/>
      <c r="N59" s="84">
        <f t="shared" si="13"/>
        <v>0</v>
      </c>
      <c r="O59" s="74">
        <f t="shared" si="10"/>
        <v>0</v>
      </c>
      <c r="Q59" s="143"/>
      <c r="R59" s="212"/>
      <c r="S59" s="143"/>
      <c r="T59" s="212"/>
      <c r="U59" s="143"/>
      <c r="V59" s="212"/>
      <c r="W59" s="143"/>
    </row>
    <row r="60" spans="2:23" ht="8.25" customHeight="1" thickBot="1" x14ac:dyDescent="0.25">
      <c r="B60" s="86"/>
      <c r="C60" s="87"/>
      <c r="D60" s="88"/>
      <c r="E60" s="87"/>
      <c r="F60" s="89"/>
      <c r="G60" s="90"/>
      <c r="H60" s="91"/>
      <c r="I60" s="92"/>
      <c r="J60" s="89"/>
      <c r="K60" s="93"/>
      <c r="L60" s="91"/>
      <c r="M60" s="92"/>
      <c r="N60" s="94"/>
      <c r="O60" s="95"/>
      <c r="Q60" s="107"/>
      <c r="S60" s="107"/>
      <c r="U60" s="107"/>
      <c r="W60" s="107"/>
    </row>
    <row r="61" spans="2:23" x14ac:dyDescent="0.2">
      <c r="B61" s="96" t="s">
        <v>42</v>
      </c>
      <c r="C61" s="21"/>
      <c r="D61" s="21"/>
      <c r="E61" s="21"/>
      <c r="F61" s="97"/>
      <c r="G61" s="98"/>
      <c r="H61" s="99">
        <f>SUM(H51:H57,H50)</f>
        <v>110.99325440000001</v>
      </c>
      <c r="I61" s="100"/>
      <c r="J61" s="101"/>
      <c r="K61" s="101"/>
      <c r="L61" s="99">
        <f>SUM(L51:L57,L50)</f>
        <v>111.65696640000002</v>
      </c>
      <c r="M61" s="102"/>
      <c r="N61" s="103">
        <f t="shared" ref="N61" si="16">L61-H61</f>
        <v>0.66371200000000385</v>
      </c>
      <c r="O61" s="104">
        <f t="shared" ref="O61" si="17">IF((H61)=0,"",(N61/H61))</f>
        <v>5.9797507838458674E-3</v>
      </c>
      <c r="Q61" s="102"/>
      <c r="S61" s="102"/>
      <c r="U61" s="102"/>
      <c r="W61" s="102"/>
    </row>
    <row r="62" spans="2:23" x14ac:dyDescent="0.2">
      <c r="B62" s="105" t="s">
        <v>43</v>
      </c>
      <c r="C62" s="21"/>
      <c r="D62" s="21"/>
      <c r="E62" s="21"/>
      <c r="F62" s="106">
        <v>0.13</v>
      </c>
      <c r="G62" s="107"/>
      <c r="H62" s="108">
        <f>H61*F62</f>
        <v>14.429123072000001</v>
      </c>
      <c r="I62" s="109"/>
      <c r="J62" s="110">
        <v>0.13</v>
      </c>
      <c r="K62" s="109"/>
      <c r="L62" s="111">
        <f>L61*J62</f>
        <v>14.515405632000002</v>
      </c>
      <c r="M62" s="112"/>
      <c r="N62" s="113">
        <f t="shared" si="13"/>
        <v>8.6282560000000785E-2</v>
      </c>
      <c r="O62" s="114">
        <f t="shared" si="10"/>
        <v>5.9797507838458873E-3</v>
      </c>
      <c r="Q62" s="112"/>
      <c r="S62" s="112"/>
      <c r="U62" s="112"/>
      <c r="W62" s="112"/>
    </row>
    <row r="63" spans="2:23" ht="13.5" thickBot="1" x14ac:dyDescent="0.25">
      <c r="B63" s="115" t="s">
        <v>44</v>
      </c>
      <c r="C63" s="21"/>
      <c r="D63" s="21"/>
      <c r="E63" s="21"/>
      <c r="F63" s="116"/>
      <c r="G63" s="107"/>
      <c r="H63" s="99">
        <f>H61+H62</f>
        <v>125.42237747200001</v>
      </c>
      <c r="I63" s="109"/>
      <c r="J63" s="109"/>
      <c r="K63" s="109"/>
      <c r="L63" s="220">
        <f>L61+L62</f>
        <v>126.17237203200001</v>
      </c>
      <c r="M63" s="112"/>
      <c r="N63" s="103">
        <f t="shared" si="13"/>
        <v>0.74999456000000464</v>
      </c>
      <c r="O63" s="104">
        <f t="shared" si="10"/>
        <v>5.97975078384587E-3</v>
      </c>
      <c r="Q63" s="112"/>
      <c r="S63" s="112"/>
      <c r="U63" s="112"/>
      <c r="W63" s="112"/>
    </row>
    <row r="64" spans="2:23" s="85" customFormat="1" ht="8.25" customHeight="1" thickBot="1" x14ac:dyDescent="0.25">
      <c r="B64" s="117"/>
      <c r="C64" s="118"/>
      <c r="D64" s="119"/>
      <c r="E64" s="118"/>
      <c r="F64" s="89"/>
      <c r="G64" s="120"/>
      <c r="H64" s="91"/>
      <c r="I64" s="121"/>
      <c r="J64" s="89"/>
      <c r="K64" s="122"/>
      <c r="L64" s="91"/>
      <c r="M64" s="121"/>
      <c r="N64" s="123"/>
      <c r="O64" s="95"/>
      <c r="Q64" s="143"/>
      <c r="R64" s="212"/>
      <c r="S64" s="143"/>
      <c r="T64" s="212"/>
      <c r="U64" s="143"/>
      <c r="V64" s="212"/>
      <c r="W64" s="143"/>
    </row>
    <row r="65" spans="1:23" s="85" customFormat="1" x14ac:dyDescent="0.2">
      <c r="B65" s="124" t="s">
        <v>45</v>
      </c>
      <c r="C65" s="79"/>
      <c r="D65" s="79"/>
      <c r="E65" s="79"/>
      <c r="F65" s="125"/>
      <c r="G65" s="126"/>
      <c r="H65" s="127">
        <f>SUM(H58:H59,H50,H51:H54)</f>
        <v>106.34365440000001</v>
      </c>
      <c r="I65" s="128"/>
      <c r="J65" s="129"/>
      <c r="K65" s="129"/>
      <c r="L65" s="127">
        <f>SUM(L58:L59,L50,L51:L54)</f>
        <v>107.0073664</v>
      </c>
      <c r="M65" s="130"/>
      <c r="N65" s="131">
        <f t="shared" ref="N65:N67" si="18">L65-H65</f>
        <v>0.66371199999998964</v>
      </c>
      <c r="O65" s="104">
        <f t="shared" ref="O65:O67" si="19">IF((H65)=0,"",(N65/H65))</f>
        <v>6.2411998510368064E-3</v>
      </c>
      <c r="Q65" s="130"/>
      <c r="R65" s="212"/>
      <c r="S65" s="130"/>
      <c r="T65" s="212"/>
      <c r="U65" s="130"/>
      <c r="V65" s="212"/>
      <c r="W65" s="130"/>
    </row>
    <row r="66" spans="1:23" s="85" customFormat="1" x14ac:dyDescent="0.2">
      <c r="B66" s="132" t="s">
        <v>43</v>
      </c>
      <c r="C66" s="79"/>
      <c r="D66" s="79"/>
      <c r="E66" s="79"/>
      <c r="F66" s="133">
        <v>0.13</v>
      </c>
      <c r="G66" s="126"/>
      <c r="H66" s="134">
        <f>H65*F66</f>
        <v>13.824675072000002</v>
      </c>
      <c r="I66" s="135"/>
      <c r="J66" s="136">
        <v>0.13</v>
      </c>
      <c r="K66" s="137"/>
      <c r="L66" s="138">
        <f>L65*J66</f>
        <v>13.910957632000001</v>
      </c>
      <c r="M66" s="139"/>
      <c r="N66" s="140">
        <f t="shared" si="18"/>
        <v>8.6282559999999009E-2</v>
      </c>
      <c r="O66" s="114">
        <f t="shared" si="19"/>
        <v>6.2411998510368315E-3</v>
      </c>
      <c r="Q66" s="139"/>
      <c r="R66" s="212"/>
      <c r="S66" s="139"/>
      <c r="T66" s="212"/>
      <c r="U66" s="139"/>
      <c r="V66" s="212"/>
      <c r="W66" s="139"/>
    </row>
    <row r="67" spans="1:23" s="85" customFormat="1" ht="13.5" thickBot="1" x14ac:dyDescent="0.25">
      <c r="B67" s="141" t="s">
        <v>44</v>
      </c>
      <c r="C67" s="79"/>
      <c r="D67" s="79"/>
      <c r="E67" s="79"/>
      <c r="F67" s="142"/>
      <c r="G67" s="143"/>
      <c r="H67" s="127">
        <f>H65+H66</f>
        <v>120.16832947200001</v>
      </c>
      <c r="I67" s="135"/>
      <c r="J67" s="135"/>
      <c r="K67" s="135"/>
      <c r="L67" s="219">
        <f>L65+L66</f>
        <v>120.918324032</v>
      </c>
      <c r="M67" s="139"/>
      <c r="N67" s="131">
        <f t="shared" si="18"/>
        <v>0.74999455999999043</v>
      </c>
      <c r="O67" s="104">
        <f t="shared" si="19"/>
        <v>6.2411998510368237E-3</v>
      </c>
      <c r="Q67" s="139"/>
      <c r="R67" s="212"/>
      <c r="S67" s="139"/>
      <c r="T67" s="212"/>
      <c r="U67" s="139"/>
      <c r="V67" s="212"/>
      <c r="W67" s="139"/>
    </row>
    <row r="68" spans="1:23" s="85" customFormat="1" ht="8.25" customHeight="1" thickBot="1" x14ac:dyDescent="0.25">
      <c r="B68" s="117"/>
      <c r="C68" s="118"/>
      <c r="D68" s="119"/>
      <c r="E68" s="118"/>
      <c r="F68" s="144"/>
      <c r="G68" s="145"/>
      <c r="H68" s="146"/>
      <c r="I68" s="147"/>
      <c r="J68" s="144"/>
      <c r="K68" s="120"/>
      <c r="L68" s="148"/>
      <c r="M68" s="121"/>
      <c r="N68" s="149"/>
      <c r="O68" s="95"/>
      <c r="Q68" s="143"/>
      <c r="R68" s="212"/>
      <c r="S68" s="143"/>
      <c r="T68" s="212"/>
      <c r="U68" s="143"/>
      <c r="V68" s="212"/>
      <c r="W68" s="143"/>
    </row>
    <row r="69" spans="1:23" x14ac:dyDescent="0.2">
      <c r="L69" s="150"/>
    </row>
    <row r="70" spans="1:23" x14ac:dyDescent="0.2">
      <c r="B70" s="12" t="s">
        <v>46</v>
      </c>
      <c r="F70" s="151">
        <f>'Res (100)'!F70</f>
        <v>3.3500000000000002E-2</v>
      </c>
      <c r="J70" s="151">
        <f>+'Res (100)'!J70</f>
        <v>3.3500000000000002E-2</v>
      </c>
    </row>
    <row r="71" spans="1:23" ht="13.5" thickBot="1" x14ac:dyDescent="0.25"/>
    <row r="72" spans="1:23" ht="8.25" customHeight="1" thickBot="1" x14ac:dyDescent="0.25">
      <c r="B72" s="86"/>
      <c r="C72" s="87"/>
      <c r="D72" s="88"/>
      <c r="E72" s="87"/>
      <c r="F72" s="89"/>
      <c r="G72" s="90"/>
      <c r="H72" s="91"/>
      <c r="I72" s="92"/>
      <c r="J72" s="89"/>
      <c r="K72" s="93"/>
      <c r="L72" s="91"/>
      <c r="M72" s="92"/>
      <c r="N72" s="94"/>
      <c r="O72" s="95"/>
      <c r="Q72" s="107"/>
      <c r="S72" s="107"/>
      <c r="U72" s="107"/>
      <c r="W72" s="107"/>
    </row>
    <row r="73" spans="1:23" x14ac:dyDescent="0.2">
      <c r="B73" s="96" t="s">
        <v>42</v>
      </c>
      <c r="C73" s="21"/>
      <c r="D73" s="21"/>
      <c r="E73" s="21"/>
      <c r="F73" s="97"/>
      <c r="G73" s="98"/>
      <c r="H73" s="99">
        <f>+H61-H31-H40-H41-H42</f>
        <v>112.18045440000002</v>
      </c>
      <c r="I73" s="100"/>
      <c r="J73" s="101"/>
      <c r="K73" s="101"/>
      <c r="L73" s="99">
        <f>+L61-L31-L40-L41-L42</f>
        <v>113.17296640000001</v>
      </c>
      <c r="M73" s="102"/>
      <c r="N73" s="103">
        <f t="shared" ref="N73:N75" si="20">L73-H73</f>
        <v>0.99251199999999073</v>
      </c>
      <c r="O73" s="104">
        <f t="shared" ref="O73:O75" si="21">IF((H73)=0,"",(N73/H73))</f>
        <v>8.8474592593555286E-3</v>
      </c>
      <c r="Q73" s="102"/>
      <c r="S73" s="102"/>
      <c r="U73" s="102"/>
      <c r="W73" s="102"/>
    </row>
    <row r="74" spans="1:23" x14ac:dyDescent="0.2">
      <c r="B74" s="105" t="s">
        <v>43</v>
      </c>
      <c r="C74" s="21"/>
      <c r="D74" s="21"/>
      <c r="E74" s="21"/>
      <c r="F74" s="106">
        <v>0.13</v>
      </c>
      <c r="G74" s="107"/>
      <c r="H74" s="226">
        <f>H73*F74</f>
        <v>14.583459072000002</v>
      </c>
      <c r="I74" s="109"/>
      <c r="J74" s="110">
        <v>0.13</v>
      </c>
      <c r="K74" s="109"/>
      <c r="L74" s="111">
        <f>L73*J74</f>
        <v>14.712485632000002</v>
      </c>
      <c r="M74" s="112"/>
      <c r="N74" s="113">
        <f t="shared" si="20"/>
        <v>0.12902655999999979</v>
      </c>
      <c r="O74" s="114">
        <f t="shared" si="21"/>
        <v>8.8474592593555963E-3</v>
      </c>
      <c r="Q74" s="112"/>
      <c r="S74" s="112"/>
      <c r="U74" s="112"/>
      <c r="W74" s="112"/>
    </row>
    <row r="75" spans="1:23" x14ac:dyDescent="0.2">
      <c r="B75" s="115" t="s">
        <v>44</v>
      </c>
      <c r="C75" s="21"/>
      <c r="D75" s="21"/>
      <c r="E75" s="21"/>
      <c r="F75" s="213"/>
      <c r="G75" s="214"/>
      <c r="H75" s="225">
        <f>H73+H74</f>
        <v>126.76391347200001</v>
      </c>
      <c r="I75" s="215"/>
      <c r="J75" s="215"/>
      <c r="K75" s="215"/>
      <c r="L75" s="224">
        <f>L73+L74</f>
        <v>127.885452032</v>
      </c>
      <c r="M75" s="216"/>
      <c r="N75" s="223">
        <f t="shared" si="20"/>
        <v>1.1215385599999905</v>
      </c>
      <c r="O75" s="222">
        <f t="shared" si="21"/>
        <v>8.8474592593555355E-3</v>
      </c>
      <c r="Q75" s="112"/>
      <c r="S75" s="112"/>
      <c r="U75" s="112"/>
      <c r="W75" s="112"/>
    </row>
    <row r="76" spans="1:23" ht="13.5" customHeight="1" x14ac:dyDescent="0.2">
      <c r="Q76" s="210"/>
      <c r="R76" s="210"/>
      <c r="S76" s="6"/>
      <c r="T76" s="6"/>
      <c r="U76" s="6"/>
      <c r="V76" s="6"/>
      <c r="W76" s="6"/>
    </row>
    <row r="77" spans="1:23" ht="12" customHeight="1" x14ac:dyDescent="0.2">
      <c r="A77" s="6" t="s">
        <v>47</v>
      </c>
      <c r="Q77" s="210"/>
      <c r="R77" s="210"/>
      <c r="S77" s="6"/>
      <c r="T77" s="6"/>
      <c r="U77" s="6"/>
      <c r="V77" s="6"/>
      <c r="W77" s="6"/>
    </row>
    <row r="78" spans="1:23" x14ac:dyDescent="0.2">
      <c r="A78" s="6" t="s">
        <v>48</v>
      </c>
      <c r="Q78" s="210"/>
      <c r="R78" s="210"/>
      <c r="S78" s="6"/>
      <c r="T78" s="6"/>
      <c r="U78" s="6"/>
      <c r="V78" s="6"/>
      <c r="W78" s="6"/>
    </row>
    <row r="79" spans="1:23" x14ac:dyDescent="0.2">
      <c r="Q79" s="210"/>
      <c r="R79" s="210"/>
      <c r="S79" s="6"/>
      <c r="T79" s="6"/>
      <c r="U79" s="6"/>
      <c r="V79" s="6"/>
      <c r="W79" s="6"/>
    </row>
    <row r="80" spans="1:23" x14ac:dyDescent="0.2">
      <c r="A80" s="153" t="s">
        <v>136</v>
      </c>
      <c r="Q80" s="210"/>
      <c r="R80" s="210"/>
      <c r="S80" s="6"/>
      <c r="T80" s="6"/>
      <c r="U80" s="6"/>
      <c r="V80" s="6"/>
      <c r="W80" s="6"/>
    </row>
    <row r="81" spans="1:23" x14ac:dyDescent="0.2">
      <c r="A81" s="11" t="s">
        <v>49</v>
      </c>
      <c r="Q81" s="210"/>
      <c r="R81" s="210"/>
      <c r="S81" s="6"/>
      <c r="T81" s="6"/>
      <c r="U81" s="6"/>
      <c r="V81" s="6"/>
      <c r="W81" s="6"/>
    </row>
    <row r="82" spans="1:23" x14ac:dyDescent="0.2">
      <c r="Q82" s="210"/>
      <c r="R82" s="210"/>
      <c r="S82" s="6"/>
      <c r="T82" s="6"/>
      <c r="U82" s="6"/>
      <c r="V82" s="6"/>
      <c r="W82" s="6"/>
    </row>
    <row r="83" spans="1:23" x14ac:dyDescent="0.2">
      <c r="A83" s="6" t="s">
        <v>135</v>
      </c>
      <c r="Q83" s="210"/>
      <c r="R83" s="210"/>
      <c r="S83" s="6"/>
      <c r="T83" s="6"/>
      <c r="U83" s="6"/>
      <c r="V83" s="6"/>
      <c r="W83" s="6"/>
    </row>
    <row r="84" spans="1:23" x14ac:dyDescent="0.2">
      <c r="A84" s="6" t="s">
        <v>50</v>
      </c>
      <c r="Q84" s="210"/>
      <c r="R84" s="210"/>
      <c r="S84" s="6"/>
      <c r="T84" s="6"/>
      <c r="U84" s="6"/>
      <c r="V84" s="6"/>
      <c r="W84" s="6"/>
    </row>
    <row r="85" spans="1:23" x14ac:dyDescent="0.2">
      <c r="A85" s="6" t="s">
        <v>51</v>
      </c>
      <c r="Q85" s="210"/>
      <c r="R85" s="210"/>
      <c r="S85" s="6"/>
      <c r="T85" s="6"/>
      <c r="U85" s="6"/>
      <c r="V85" s="6"/>
      <c r="W85" s="6"/>
    </row>
    <row r="86" spans="1:23" x14ac:dyDescent="0.2">
      <c r="A86" s="6" t="s">
        <v>52</v>
      </c>
      <c r="Q86" s="210"/>
      <c r="R86" s="210"/>
      <c r="S86" s="6"/>
      <c r="T86" s="6"/>
      <c r="U86" s="6"/>
      <c r="V86" s="6"/>
      <c r="W86" s="6"/>
    </row>
    <row r="87" spans="1:23" x14ac:dyDescent="0.2">
      <c r="A87" s="6" t="s">
        <v>53</v>
      </c>
      <c r="Q87" s="210"/>
      <c r="R87" s="210"/>
      <c r="S87" s="6"/>
      <c r="T87" s="6"/>
      <c r="U87" s="6"/>
      <c r="V87" s="6"/>
      <c r="W87" s="6"/>
    </row>
    <row r="88" spans="1:23" x14ac:dyDescent="0.2">
      <c r="Q88" s="210"/>
      <c r="R88" s="210"/>
      <c r="S88" s="6"/>
      <c r="T88" s="6"/>
      <c r="U88" s="6"/>
      <c r="V88" s="6"/>
      <c r="W88" s="6"/>
    </row>
    <row r="89" spans="1:23" x14ac:dyDescent="0.2">
      <c r="A89" s="152"/>
      <c r="B89" s="6" t="s">
        <v>54</v>
      </c>
      <c r="Q89" s="210"/>
      <c r="R89" s="210"/>
      <c r="S89" s="6"/>
      <c r="T89" s="6"/>
      <c r="U89" s="6"/>
      <c r="V89" s="6"/>
      <c r="W89" s="6"/>
    </row>
    <row r="90" spans="1:23" x14ac:dyDescent="0.2">
      <c r="Q90" s="210"/>
      <c r="R90" s="210"/>
      <c r="S90" s="6"/>
      <c r="T90" s="6"/>
      <c r="U90" s="6"/>
      <c r="V90" s="6"/>
      <c r="W90" s="6"/>
    </row>
    <row r="91" spans="1:23" x14ac:dyDescent="0.2">
      <c r="B91" s="153" t="s">
        <v>55</v>
      </c>
      <c r="Q91" s="210"/>
      <c r="R91" s="210"/>
      <c r="S91" s="6"/>
      <c r="T91" s="6"/>
      <c r="U91" s="6"/>
      <c r="V91" s="6"/>
      <c r="W91"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68 D64 D23:D38 D72 D48:D49 D40:D46 D51:D60">
      <formula1>"Monthly, per kWh, per kW"</formula1>
    </dataValidation>
    <dataValidation type="list" allowBlank="1" showInputMessage="1" showErrorMessage="1" sqref="E48:E49 E68 E64 E23:E38 E40:E46 E72 E51:E60">
      <formula1>#REF!</formula1>
    </dataValidation>
  </dataValidations>
  <pageMargins left="0.74803149606299213" right="0.74803149606299213" top="0.98425196850393704" bottom="0.98425196850393704" header="0.51181102362204722" footer="0.51181102362204722"/>
  <pageSetup scale="59" orientation="portrait" r:id="rId1"/>
  <headerFooter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97281" r:id="rId4" name="Option Button 1">
              <controlPr defaultSize="0" autoFill="0" autoLine="0" autoPict="0">
                <anchor moveWithCells="1">
                  <from>
                    <xdr:col>6</xdr:col>
                    <xdr:colOff>476250</xdr:colOff>
                    <xdr:row>16</xdr:row>
                    <xdr:rowOff>171450</xdr:rowOff>
                  </from>
                  <to>
                    <xdr:col>9</xdr:col>
                    <xdr:colOff>476250</xdr:colOff>
                    <xdr:row>18</xdr:row>
                    <xdr:rowOff>28575</xdr:rowOff>
                  </to>
                </anchor>
              </controlPr>
            </control>
          </mc:Choice>
        </mc:AlternateContent>
        <mc:AlternateContent xmlns:mc="http://schemas.openxmlformats.org/markup-compatibility/2006">
          <mc:Choice Requires="x14">
            <control shapeId="97282" r:id="rId5" name="Option Button 2">
              <controlPr defaultSize="0" autoFill="0" autoLine="0" autoPict="0">
                <anchor moveWithCells="1">
                  <from>
                    <xdr:col>9</xdr:col>
                    <xdr:colOff>361950</xdr:colOff>
                    <xdr:row>16</xdr:row>
                    <xdr:rowOff>114300</xdr:rowOff>
                  </from>
                  <to>
                    <xdr:col>15</xdr:col>
                    <xdr:colOff>247650</xdr:colOff>
                    <xdr:row>18</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W91"/>
  <sheetViews>
    <sheetView showGridLines="0" view="pageBreakPreview" topLeftCell="A4" zoomScale="70" zoomScaleNormal="85" zoomScaleSheetLayoutView="70" workbookViewId="0">
      <pane xSplit="5" ySplit="19" topLeftCell="F59" activePane="bottomRight" state="frozen"/>
      <selection activeCell="O41" sqref="O41"/>
      <selection pane="topRight" activeCell="O41" sqref="O41"/>
      <selection pane="bottomLeft" activeCell="O41" sqref="O41"/>
      <selection pane="bottomRight" activeCell="F11" sqref="F1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9.7109375" style="6" bestFit="1" customWidth="1"/>
    <col min="7" max="7" width="9.85546875" style="6" bestFit="1" customWidth="1"/>
    <col min="8" max="8" width="12.5703125" style="6" bestFit="1" customWidth="1"/>
    <col min="9" max="9" width="2.85546875" style="6" customWidth="1"/>
    <col min="10" max="10" width="11.5703125" style="6" bestFit="1" customWidth="1"/>
    <col min="11" max="11" width="9.85546875" style="6" bestFit="1" customWidth="1"/>
    <col min="12" max="12" width="12.5703125" style="6" bestFit="1" customWidth="1"/>
    <col min="13" max="13" width="2.85546875" style="6" customWidth="1"/>
    <col min="14" max="14" width="11.85546875" style="6" bestFit="1"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7109375" style="211" bestFit="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45"/>
      <c r="O8" s="16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2</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750</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+'Res (100)'!F23</f>
        <v>12.96</v>
      </c>
      <c r="G23" s="25">
        <v>1</v>
      </c>
      <c r="H23" s="186">
        <f>G23*F23</f>
        <v>12.96</v>
      </c>
      <c r="I23" s="27"/>
      <c r="J23" s="24">
        <f>+'Res (100)'!J23</f>
        <v>16.600000000000001</v>
      </c>
      <c r="K23" s="29">
        <v>1</v>
      </c>
      <c r="L23" s="186">
        <f>K23*J23</f>
        <v>16.600000000000001</v>
      </c>
      <c r="M23" s="27"/>
      <c r="N23" s="187">
        <f>L23-H23</f>
        <v>3.6400000000000006</v>
      </c>
      <c r="O23" s="31">
        <f>IF((H23)=0,"",(N23/H23))</f>
        <v>0.28086419753086422</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+'Res (100)'!F29</f>
        <v>1.9300000000000001E-2</v>
      </c>
      <c r="G29" s="25">
        <f>$F$18</f>
        <v>750</v>
      </c>
      <c r="H29" s="186">
        <f t="shared" si="0"/>
        <v>14.475000000000001</v>
      </c>
      <c r="I29" s="27"/>
      <c r="J29" s="24">
        <f>+'Res (100)'!J29</f>
        <v>1.5100000000000001E-2</v>
      </c>
      <c r="K29" s="25">
        <f>$F$18</f>
        <v>750</v>
      </c>
      <c r="L29" s="186">
        <f t="shared" si="1"/>
        <v>11.325000000000001</v>
      </c>
      <c r="M29" s="27"/>
      <c r="N29" s="187">
        <f t="shared" si="2"/>
        <v>-3.1500000000000004</v>
      </c>
      <c r="O29" s="31">
        <f t="shared" si="3"/>
        <v>-0.21761658031088082</v>
      </c>
      <c r="Q29" s="107"/>
      <c r="S29" s="107"/>
      <c r="U29" s="107"/>
      <c r="W29" s="107"/>
    </row>
    <row r="30" spans="2:23" x14ac:dyDescent="0.2">
      <c r="B30" s="21" t="s">
        <v>22</v>
      </c>
      <c r="C30" s="21"/>
      <c r="D30" s="22"/>
      <c r="E30" s="23"/>
      <c r="F30" s="24"/>
      <c r="G30" s="25">
        <f t="shared" ref="G30" si="4">$F$18</f>
        <v>750</v>
      </c>
      <c r="H30" s="26">
        <f t="shared" si="0"/>
        <v>0</v>
      </c>
      <c r="I30" s="27"/>
      <c r="J30" s="24"/>
      <c r="K30" s="25">
        <f t="shared" ref="K30:K38" si="5">$F$18</f>
        <v>750</v>
      </c>
      <c r="L30" s="26">
        <f t="shared" si="1"/>
        <v>0</v>
      </c>
      <c r="M30" s="27"/>
      <c r="N30" s="30">
        <f t="shared" si="2"/>
        <v>0</v>
      </c>
      <c r="O30" s="31" t="str">
        <f t="shared" si="3"/>
        <v/>
      </c>
      <c r="Q30" s="107"/>
      <c r="S30" s="107"/>
      <c r="U30" s="107"/>
      <c r="W30" s="107"/>
    </row>
    <row r="31" spans="2:23" x14ac:dyDescent="0.2">
      <c r="B31" s="21" t="s">
        <v>23</v>
      </c>
      <c r="C31" s="21"/>
      <c r="D31" s="22" t="s">
        <v>21</v>
      </c>
      <c r="E31" s="23"/>
      <c r="F31" s="24">
        <f>+'Res (100)'!F31</f>
        <v>-2.0000000000000002E-5</v>
      </c>
      <c r="G31" s="25">
        <f>$F$18</f>
        <v>750</v>
      </c>
      <c r="H31" s="26">
        <f>G31*F31</f>
        <v>-1.5000000000000001E-2</v>
      </c>
      <c r="I31" s="27"/>
      <c r="J31" s="52">
        <f>+'Res (100)'!J31</f>
        <v>0</v>
      </c>
      <c r="K31" s="25">
        <f t="shared" si="5"/>
        <v>750</v>
      </c>
      <c r="L31" s="26">
        <f t="shared" si="1"/>
        <v>0</v>
      </c>
      <c r="M31" s="27"/>
      <c r="N31" s="30">
        <f t="shared" si="2"/>
        <v>1.5000000000000001E-2</v>
      </c>
      <c r="O31" s="31">
        <f t="shared" si="3"/>
        <v>-1</v>
      </c>
      <c r="Q31" s="107"/>
      <c r="S31" s="107"/>
      <c r="U31" s="107"/>
      <c r="W31" s="107"/>
    </row>
    <row r="32" spans="2:23" x14ac:dyDescent="0.2">
      <c r="B32" s="33"/>
      <c r="C32" s="21"/>
      <c r="D32" s="22"/>
      <c r="E32" s="23"/>
      <c r="F32" s="24"/>
      <c r="G32" s="25">
        <f t="shared" ref="G32:G38" si="6">$F$18</f>
        <v>750</v>
      </c>
      <c r="H32" s="26">
        <f t="shared" si="0"/>
        <v>0</v>
      </c>
      <c r="I32" s="27"/>
      <c r="J32" s="28"/>
      <c r="K32" s="25">
        <f t="shared" si="5"/>
        <v>750</v>
      </c>
      <c r="L32" s="26">
        <f t="shared" si="1"/>
        <v>0</v>
      </c>
      <c r="M32" s="27"/>
      <c r="N32" s="30">
        <f t="shared" si="2"/>
        <v>0</v>
      </c>
      <c r="O32" s="31" t="str">
        <f t="shared" si="3"/>
        <v/>
      </c>
      <c r="Q32" s="107"/>
      <c r="S32" s="107"/>
      <c r="U32" s="107"/>
      <c r="W32" s="107"/>
    </row>
    <row r="33" spans="2:23" x14ac:dyDescent="0.2">
      <c r="B33" s="33"/>
      <c r="C33" s="21"/>
      <c r="D33" s="22"/>
      <c r="E33" s="23"/>
      <c r="F33" s="24"/>
      <c r="G33" s="25">
        <f t="shared" si="6"/>
        <v>750</v>
      </c>
      <c r="H33" s="26">
        <f t="shared" si="0"/>
        <v>0</v>
      </c>
      <c r="I33" s="27"/>
      <c r="J33" s="28"/>
      <c r="K33" s="25">
        <f t="shared" si="5"/>
        <v>750</v>
      </c>
      <c r="L33" s="26">
        <f t="shared" si="1"/>
        <v>0</v>
      </c>
      <c r="M33" s="27"/>
      <c r="N33" s="30">
        <f t="shared" si="2"/>
        <v>0</v>
      </c>
      <c r="O33" s="31" t="str">
        <f t="shared" si="3"/>
        <v/>
      </c>
      <c r="Q33" s="107"/>
      <c r="S33" s="107"/>
      <c r="U33" s="107"/>
      <c r="W33" s="107"/>
    </row>
    <row r="34" spans="2:23" x14ac:dyDescent="0.2">
      <c r="B34" s="33"/>
      <c r="C34" s="21"/>
      <c r="D34" s="22"/>
      <c r="E34" s="23"/>
      <c r="F34" s="24"/>
      <c r="G34" s="25">
        <f t="shared" si="6"/>
        <v>750</v>
      </c>
      <c r="H34" s="26">
        <f t="shared" si="0"/>
        <v>0</v>
      </c>
      <c r="I34" s="27"/>
      <c r="J34" s="28"/>
      <c r="K34" s="25">
        <f t="shared" si="5"/>
        <v>750</v>
      </c>
      <c r="L34" s="26">
        <f t="shared" si="1"/>
        <v>0</v>
      </c>
      <c r="M34" s="27"/>
      <c r="N34" s="30">
        <f t="shared" si="2"/>
        <v>0</v>
      </c>
      <c r="O34" s="31" t="str">
        <f t="shared" si="3"/>
        <v/>
      </c>
      <c r="Q34" s="107"/>
      <c r="S34" s="107"/>
      <c r="U34" s="107"/>
      <c r="W34" s="107"/>
    </row>
    <row r="35" spans="2:23" x14ac:dyDescent="0.2">
      <c r="B35" s="33"/>
      <c r="C35" s="21"/>
      <c r="D35" s="22"/>
      <c r="E35" s="23"/>
      <c r="F35" s="24"/>
      <c r="G35" s="25">
        <f t="shared" si="6"/>
        <v>750</v>
      </c>
      <c r="H35" s="26">
        <f t="shared" si="0"/>
        <v>0</v>
      </c>
      <c r="I35" s="27"/>
      <c r="J35" s="28"/>
      <c r="K35" s="25">
        <f t="shared" si="5"/>
        <v>750</v>
      </c>
      <c r="L35" s="26">
        <f t="shared" si="1"/>
        <v>0</v>
      </c>
      <c r="M35" s="27"/>
      <c r="N35" s="30">
        <f t="shared" si="2"/>
        <v>0</v>
      </c>
      <c r="O35" s="31" t="str">
        <f t="shared" si="3"/>
        <v/>
      </c>
      <c r="Q35" s="107"/>
      <c r="S35" s="107"/>
      <c r="U35" s="107"/>
      <c r="W35" s="107"/>
    </row>
    <row r="36" spans="2:23" x14ac:dyDescent="0.2">
      <c r="B36" s="33"/>
      <c r="C36" s="21"/>
      <c r="D36" s="22"/>
      <c r="E36" s="23"/>
      <c r="F36" s="24"/>
      <c r="G36" s="25">
        <f t="shared" si="6"/>
        <v>750</v>
      </c>
      <c r="H36" s="26">
        <f t="shared" si="0"/>
        <v>0</v>
      </c>
      <c r="I36" s="27"/>
      <c r="J36" s="28"/>
      <c r="K36" s="25">
        <f t="shared" si="5"/>
        <v>750</v>
      </c>
      <c r="L36" s="26">
        <f t="shared" si="1"/>
        <v>0</v>
      </c>
      <c r="M36" s="27"/>
      <c r="N36" s="30">
        <f t="shared" si="2"/>
        <v>0</v>
      </c>
      <c r="O36" s="31" t="str">
        <f t="shared" si="3"/>
        <v/>
      </c>
      <c r="Q36" s="107"/>
      <c r="S36" s="107"/>
      <c r="U36" s="107"/>
      <c r="W36" s="107"/>
    </row>
    <row r="37" spans="2:23" x14ac:dyDescent="0.2">
      <c r="B37" s="33"/>
      <c r="C37" s="21"/>
      <c r="D37" s="22"/>
      <c r="E37" s="23"/>
      <c r="F37" s="24"/>
      <c r="G37" s="25">
        <f t="shared" si="6"/>
        <v>750</v>
      </c>
      <c r="H37" s="26">
        <f t="shared" si="0"/>
        <v>0</v>
      </c>
      <c r="I37" s="27"/>
      <c r="J37" s="28"/>
      <c r="K37" s="25">
        <f t="shared" si="5"/>
        <v>750</v>
      </c>
      <c r="L37" s="26">
        <f t="shared" si="1"/>
        <v>0</v>
      </c>
      <c r="M37" s="27"/>
      <c r="N37" s="30">
        <f t="shared" si="2"/>
        <v>0</v>
      </c>
      <c r="O37" s="31" t="str">
        <f t="shared" si="3"/>
        <v/>
      </c>
      <c r="Q37" s="107"/>
      <c r="S37" s="107"/>
      <c r="U37" s="107"/>
      <c r="W37" s="107"/>
    </row>
    <row r="38" spans="2:23" x14ac:dyDescent="0.2">
      <c r="B38" s="33"/>
      <c r="C38" s="21"/>
      <c r="D38" s="22"/>
      <c r="E38" s="23"/>
      <c r="F38" s="24"/>
      <c r="G38" s="25">
        <f t="shared" si="6"/>
        <v>750</v>
      </c>
      <c r="H38" s="26">
        <f t="shared" si="0"/>
        <v>0</v>
      </c>
      <c r="I38" s="27"/>
      <c r="J38" s="28"/>
      <c r="K38" s="25">
        <f t="shared" si="5"/>
        <v>750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27.42</v>
      </c>
      <c r="I39" s="40"/>
      <c r="J39" s="41"/>
      <c r="K39" s="42"/>
      <c r="L39" s="39">
        <f>SUM(L23:L38)</f>
        <v>27.925000000000004</v>
      </c>
      <c r="M39" s="40"/>
      <c r="N39" s="43">
        <f t="shared" si="2"/>
        <v>0.50500000000000256</v>
      </c>
      <c r="O39" s="44">
        <f t="shared" si="3"/>
        <v>1.8417213712618619E-2</v>
      </c>
      <c r="Q39" s="107"/>
      <c r="R39" s="211"/>
      <c r="S39" s="107"/>
      <c r="T39" s="211"/>
      <c r="U39" s="107"/>
      <c r="V39" s="211"/>
      <c r="W39" s="107"/>
    </row>
    <row r="40" spans="2:23" ht="38.25" x14ac:dyDescent="0.2">
      <c r="B40" s="46" t="str">
        <f>+'Res (100)'!B40</f>
        <v>Deferral/Variance Account Disposition Rate Rider Group 1</v>
      </c>
      <c r="C40" s="21"/>
      <c r="D40" s="22" t="s">
        <v>21</v>
      </c>
      <c r="E40" s="23"/>
      <c r="F40" s="24">
        <f>'Res (100)'!F40</f>
        <v>-8.2600000000000002E-4</v>
      </c>
      <c r="G40" s="25">
        <f>$F$18</f>
        <v>750</v>
      </c>
      <c r="H40" s="26">
        <f>G40*F40</f>
        <v>-0.61950000000000005</v>
      </c>
      <c r="I40" s="27"/>
      <c r="J40" s="28">
        <f>+'Res (100)'!J40</f>
        <v>-1E-4</v>
      </c>
      <c r="K40" s="25">
        <f>$F$18</f>
        <v>750</v>
      </c>
      <c r="L40" s="26">
        <f>K40*J40</f>
        <v>-7.4999999999999997E-2</v>
      </c>
      <c r="M40" s="27"/>
      <c r="N40" s="30">
        <f>L40-H40</f>
        <v>0.5445000000000001</v>
      </c>
      <c r="O40" s="31">
        <f>IF((H40)=0,"",(N40/H40))</f>
        <v>-0.87893462469733663</v>
      </c>
      <c r="Q40" s="107"/>
      <c r="S40" s="107"/>
      <c r="U40" s="107"/>
      <c r="W40" s="107"/>
    </row>
    <row r="41" spans="2:23" ht="38.25" x14ac:dyDescent="0.2">
      <c r="B41" s="46" t="str">
        <f>+'Res (100)'!B41</f>
        <v>Deferral/Variance Account Disposition Rate Rider Group 2</v>
      </c>
      <c r="C41" s="21"/>
      <c r="D41" s="22" t="s">
        <v>18</v>
      </c>
      <c r="E41" s="23"/>
      <c r="F41" s="24">
        <f>'Res (100)'!F41</f>
        <v>0.32</v>
      </c>
      <c r="G41" s="25">
        <v>1</v>
      </c>
      <c r="H41" s="26">
        <f t="shared" ref="H41:H45" si="7">G41*F41</f>
        <v>0.32</v>
      </c>
      <c r="I41" s="47"/>
      <c r="J41" s="28">
        <f>+'Res (100)'!J41</f>
        <v>0.02</v>
      </c>
      <c r="K41" s="25">
        <v>1</v>
      </c>
      <c r="L41" s="26">
        <f t="shared" ref="L41:L45" si="8">K41*J41</f>
        <v>0.02</v>
      </c>
      <c r="M41" s="48"/>
      <c r="N41" s="30">
        <f t="shared" ref="N41:N45" si="9">L41-H41</f>
        <v>-0.3</v>
      </c>
      <c r="O41" s="31">
        <f t="shared" ref="O41:O63" si="10">IF((H41)=0,"",(N41/H41))</f>
        <v>-0.9375</v>
      </c>
      <c r="Q41" s="107"/>
      <c r="S41" s="107"/>
      <c r="U41" s="107"/>
      <c r="W41" s="107"/>
    </row>
    <row r="42" spans="2:23" ht="38.25" x14ac:dyDescent="0.2">
      <c r="B42" s="46" t="str">
        <f>+'Res (100)'!B42</f>
        <v>Deferral / Variance Accounts Balances (excluding Global Adj.) - NON-WMP</v>
      </c>
      <c r="C42" s="21"/>
      <c r="D42" s="22" t="s">
        <v>21</v>
      </c>
      <c r="E42" s="23"/>
      <c r="F42" s="24">
        <f>'Res (232)'!F42</f>
        <v>-1.5089999999999999E-3</v>
      </c>
      <c r="G42" s="25">
        <f t="shared" ref="G42:G43" si="11">$F$18</f>
        <v>750</v>
      </c>
      <c r="H42" s="26">
        <f t="shared" si="7"/>
        <v>-1.13175</v>
      </c>
      <c r="I42" s="47"/>
      <c r="J42" s="28">
        <f>+'Res (100)'!J42</f>
        <v>-2.3E-3</v>
      </c>
      <c r="K42" s="25">
        <f t="shared" ref="K42:K43" si="12">$F$18</f>
        <v>750</v>
      </c>
      <c r="L42" s="26">
        <f t="shared" si="8"/>
        <v>-1.7249999999999999</v>
      </c>
      <c r="M42" s="48"/>
      <c r="N42" s="30">
        <f t="shared" si="9"/>
        <v>-0.59324999999999983</v>
      </c>
      <c r="O42" s="31">
        <f t="shared" si="10"/>
        <v>0.52418820410868106</v>
      </c>
      <c r="Q42" s="107"/>
      <c r="S42" s="107"/>
      <c r="U42" s="107"/>
      <c r="W42" s="107"/>
    </row>
    <row r="43" spans="2:23" ht="38.25" x14ac:dyDescent="0.2">
      <c r="B43" s="46" t="s">
        <v>128</v>
      </c>
      <c r="C43" s="21"/>
      <c r="D43" s="22" t="s">
        <v>21</v>
      </c>
      <c r="E43" s="23"/>
      <c r="F43" s="24">
        <f>+'Res (100)'!F43</f>
        <v>0</v>
      </c>
      <c r="G43" s="25">
        <f t="shared" si="11"/>
        <v>750</v>
      </c>
      <c r="H43" s="26">
        <f t="shared" si="7"/>
        <v>0</v>
      </c>
      <c r="I43" s="47"/>
      <c r="J43" s="233">
        <f>+'Res (100)'!J43</f>
        <v>2.7E-4</v>
      </c>
      <c r="K43" s="25">
        <f t="shared" si="12"/>
        <v>750</v>
      </c>
      <c r="L43" s="26">
        <f t="shared" si="8"/>
        <v>0.20250000000000001</v>
      </c>
      <c r="M43" s="48"/>
      <c r="N43" s="30">
        <f t="shared" si="9"/>
        <v>0.20250000000000001</v>
      </c>
      <c r="O43" s="31" t="str">
        <f t="shared" si="10"/>
        <v/>
      </c>
      <c r="Q43" s="107"/>
      <c r="S43" s="107"/>
      <c r="U43" s="107"/>
      <c r="W43" s="107"/>
    </row>
    <row r="44" spans="2:23" x14ac:dyDescent="0.2">
      <c r="B44" s="49" t="s">
        <v>26</v>
      </c>
      <c r="C44" s="21"/>
      <c r="D44" s="22" t="s">
        <v>21</v>
      </c>
      <c r="E44" s="23"/>
      <c r="F44" s="50">
        <f>'Res (100)'!F44</f>
        <v>6.9999999999999994E-5</v>
      </c>
      <c r="G44" s="51">
        <f>$F$18*(1+F70)</f>
        <v>775.12500000000011</v>
      </c>
      <c r="H44" s="26">
        <f>G44*F44</f>
        <v>5.4258750000000001E-2</v>
      </c>
      <c r="I44" s="27"/>
      <c r="J44" s="52">
        <f>'Res (100)'!J44</f>
        <v>6.9999999999999994E-5</v>
      </c>
      <c r="K44" s="51">
        <f>$F$18*(1+J70)</f>
        <v>775.12500000000011</v>
      </c>
      <c r="L44" s="26">
        <f>K44*J44</f>
        <v>5.4258750000000001E-2</v>
      </c>
      <c r="M44" s="27"/>
      <c r="N44" s="30">
        <f>L44-H44</f>
        <v>0</v>
      </c>
      <c r="O44" s="31">
        <f>IF((H44)=0,"",(N44/H44))</f>
        <v>0</v>
      </c>
      <c r="Q44" s="107"/>
      <c r="S44" s="107"/>
      <c r="U44" s="107"/>
      <c r="W44" s="107"/>
    </row>
    <row r="45" spans="2:23" x14ac:dyDescent="0.2">
      <c r="B45" s="49" t="s">
        <v>27</v>
      </c>
      <c r="C45" s="21"/>
      <c r="D45" s="22"/>
      <c r="E45" s="23"/>
      <c r="F45" s="53">
        <f>IF(ISBLANK(D16)=TRUE, 0, IF(D16="TOU", 0.65*$F$55+0.17*$F$56+0.18*$F$57, IF(AND(D16="non-TOU", G59&gt;0), F59,F58)))</f>
        <v>0.11139</v>
      </c>
      <c r="G45" s="54">
        <f>$F$18*(1+$F$70)-$F$18</f>
        <v>25.125000000000114</v>
      </c>
      <c r="H45" s="26">
        <f t="shared" si="7"/>
        <v>2.7986737500000127</v>
      </c>
      <c r="I45" s="27"/>
      <c r="J45" s="55">
        <f>0.65*$J$55+0.17*$J$56+0.18*$J$57</f>
        <v>0.11139</v>
      </c>
      <c r="K45" s="54">
        <f>$F$18*(1+$J$70)-$F$18</f>
        <v>25.125000000000114</v>
      </c>
      <c r="L45" s="26">
        <f t="shared" si="8"/>
        <v>2.7986737500000127</v>
      </c>
      <c r="M45" s="27"/>
      <c r="N45" s="30">
        <f t="shared" si="9"/>
        <v>0</v>
      </c>
      <c r="O45" s="31">
        <f t="shared" si="10"/>
        <v>0</v>
      </c>
      <c r="Q45" s="107"/>
      <c r="S45" s="107"/>
      <c r="U45" s="107"/>
      <c r="W45" s="107"/>
    </row>
    <row r="46" spans="2:23" x14ac:dyDescent="0.2">
      <c r="B46" s="49" t="s">
        <v>28</v>
      </c>
      <c r="C46" s="21"/>
      <c r="D46" s="22" t="s">
        <v>18</v>
      </c>
      <c r="E46" s="23"/>
      <c r="F46" s="53">
        <f>'Res (100)'!F46</f>
        <v>0.79</v>
      </c>
      <c r="G46" s="25">
        <v>1</v>
      </c>
      <c r="H46" s="26">
        <f>G46*F46</f>
        <v>0.79</v>
      </c>
      <c r="I46" s="27"/>
      <c r="J46" s="53">
        <f>'Res (100)'!J46</f>
        <v>0.79</v>
      </c>
      <c r="K46" s="25">
        <v>1</v>
      </c>
      <c r="L46" s="26">
        <f>K46*J46</f>
        <v>0.79</v>
      </c>
      <c r="M46" s="27"/>
      <c r="N46" s="30">
        <f>L46-H46</f>
        <v>0</v>
      </c>
      <c r="O46" s="31">
        <f t="shared" si="10"/>
        <v>0</v>
      </c>
      <c r="Q46" s="107"/>
      <c r="S46" s="107"/>
      <c r="U46" s="107"/>
      <c r="W46" s="107"/>
    </row>
    <row r="47" spans="2:23" ht="25.5" x14ac:dyDescent="0.2">
      <c r="B47" s="56" t="s">
        <v>29</v>
      </c>
      <c r="C47" s="57"/>
      <c r="D47" s="57"/>
      <c r="E47" s="57"/>
      <c r="F47" s="58"/>
      <c r="G47" s="59"/>
      <c r="H47" s="60">
        <f>SUM(H40:H46)+H39</f>
        <v>29.631682500000014</v>
      </c>
      <c r="I47" s="40"/>
      <c r="J47" s="59"/>
      <c r="K47" s="61"/>
      <c r="L47" s="60">
        <f>SUM(L40:L46)+L39</f>
        <v>29.990432500000018</v>
      </c>
      <c r="M47" s="40"/>
      <c r="N47" s="43">
        <f t="shared" ref="N47:N63" si="13">L47-H47</f>
        <v>0.35875000000000412</v>
      </c>
      <c r="O47" s="44">
        <f t="shared" si="10"/>
        <v>1.2106973675895857E-2</v>
      </c>
      <c r="Q47" s="107"/>
      <c r="S47" s="107"/>
      <c r="U47" s="107"/>
      <c r="W47" s="107"/>
    </row>
    <row r="48" spans="2:23" x14ac:dyDescent="0.2">
      <c r="B48" s="27" t="s">
        <v>30</v>
      </c>
      <c r="C48" s="27"/>
      <c r="D48" s="62" t="s">
        <v>21</v>
      </c>
      <c r="E48" s="63"/>
      <c r="F48" s="28">
        <f>'Res (100)'!F48</f>
        <v>7.6E-3</v>
      </c>
      <c r="G48" s="64">
        <f>F18*(1+F70)</f>
        <v>775.12500000000011</v>
      </c>
      <c r="H48" s="26">
        <f>G48*F48</f>
        <v>5.890950000000001</v>
      </c>
      <c r="I48" s="27"/>
      <c r="J48" s="28">
        <f>'Res (100)'!J48</f>
        <v>7.4000000000000003E-3</v>
      </c>
      <c r="K48" s="65">
        <f>F18*(1+J70)</f>
        <v>775.12500000000011</v>
      </c>
      <c r="L48" s="26">
        <f>K48*J48</f>
        <v>5.7359250000000008</v>
      </c>
      <c r="M48" s="27"/>
      <c r="N48" s="30">
        <f t="shared" si="13"/>
        <v>-0.15502500000000019</v>
      </c>
      <c r="O48" s="31">
        <f t="shared" si="10"/>
        <v>-2.6315789473684237E-2</v>
      </c>
      <c r="Q48" s="107"/>
      <c r="S48" s="107"/>
      <c r="U48" s="107"/>
      <c r="W48" s="107"/>
    </row>
    <row r="49" spans="2:23" ht="25.5" x14ac:dyDescent="0.2">
      <c r="B49" s="66" t="s">
        <v>31</v>
      </c>
      <c r="C49" s="27"/>
      <c r="D49" s="62" t="s">
        <v>21</v>
      </c>
      <c r="E49" s="63"/>
      <c r="F49" s="28">
        <f>'Res (100)'!F49</f>
        <v>4.7000000000000002E-3</v>
      </c>
      <c r="G49" s="64">
        <f>G48</f>
        <v>775.12500000000011</v>
      </c>
      <c r="H49" s="26">
        <f>G49*F49</f>
        <v>3.6430875000000005</v>
      </c>
      <c r="I49" s="27"/>
      <c r="J49" s="28">
        <f>'Res (100)'!J49</f>
        <v>4.7000000000000002E-3</v>
      </c>
      <c r="K49" s="65">
        <f>K48</f>
        <v>775.12500000000011</v>
      </c>
      <c r="L49" s="26">
        <f>K49*J49</f>
        <v>3.6430875000000005</v>
      </c>
      <c r="M49" s="27"/>
      <c r="N49" s="30">
        <f t="shared" si="13"/>
        <v>0</v>
      </c>
      <c r="O49" s="31">
        <f t="shared" si="10"/>
        <v>0</v>
      </c>
      <c r="Q49" s="107"/>
      <c r="S49" s="107"/>
      <c r="U49" s="107"/>
      <c r="W49" s="107"/>
    </row>
    <row r="50" spans="2:23" ht="25.5" x14ac:dyDescent="0.2">
      <c r="B50" s="56" t="s">
        <v>32</v>
      </c>
      <c r="C50" s="35"/>
      <c r="D50" s="35"/>
      <c r="E50" s="35"/>
      <c r="F50" s="67"/>
      <c r="G50" s="59"/>
      <c r="H50" s="60">
        <f>SUM(H47:H49)</f>
        <v>39.165720000000015</v>
      </c>
      <c r="I50" s="68"/>
      <c r="J50" s="69"/>
      <c r="K50" s="70"/>
      <c r="L50" s="60">
        <f>SUM(L47:L49)</f>
        <v>39.36944500000002</v>
      </c>
      <c r="M50" s="68"/>
      <c r="N50" s="43">
        <f t="shared" si="13"/>
        <v>0.20372500000000571</v>
      </c>
      <c r="O50" s="44">
        <f t="shared" si="10"/>
        <v>5.2016150858456229E-3</v>
      </c>
      <c r="Q50" s="102"/>
      <c r="S50" s="102"/>
      <c r="U50" s="102"/>
      <c r="W50" s="102"/>
    </row>
    <row r="51" spans="2:23" ht="25.5" x14ac:dyDescent="0.2">
      <c r="B51" s="71" t="s">
        <v>33</v>
      </c>
      <c r="C51" s="21"/>
      <c r="D51" s="22" t="s">
        <v>21</v>
      </c>
      <c r="E51" s="23"/>
      <c r="F51" s="72">
        <f>'Res (100)'!F51</f>
        <v>3.5999999999999999E-3</v>
      </c>
      <c r="G51" s="64">
        <f>G49</f>
        <v>775.12500000000011</v>
      </c>
      <c r="H51" s="73">
        <f t="shared" ref="H51:H57" si="14">G51*F51</f>
        <v>2.7904500000000003</v>
      </c>
      <c r="I51" s="27"/>
      <c r="J51" s="72">
        <f>F51</f>
        <v>3.5999999999999999E-3</v>
      </c>
      <c r="K51" s="65">
        <f>K49</f>
        <v>775.12500000000011</v>
      </c>
      <c r="L51" s="73">
        <f t="shared" ref="L51:L57" si="15">K51*J51</f>
        <v>2.7904500000000003</v>
      </c>
      <c r="M51" s="27"/>
      <c r="N51" s="30">
        <f t="shared" si="13"/>
        <v>0</v>
      </c>
      <c r="O51" s="74">
        <f t="shared" si="10"/>
        <v>0</v>
      </c>
      <c r="Q51" s="107"/>
      <c r="S51" s="107"/>
      <c r="U51" s="107"/>
      <c r="W51" s="107"/>
    </row>
    <row r="52" spans="2:23" ht="25.5" x14ac:dyDescent="0.2">
      <c r="B52" s="71" t="s">
        <v>34</v>
      </c>
      <c r="C52" s="21"/>
      <c r="D52" s="22" t="s">
        <v>21</v>
      </c>
      <c r="E52" s="23"/>
      <c r="F52" s="72">
        <f>'Res (100)'!F52</f>
        <v>1.2999999999999999E-3</v>
      </c>
      <c r="G52" s="64">
        <f>G49</f>
        <v>775.12500000000011</v>
      </c>
      <c r="H52" s="73">
        <f t="shared" si="14"/>
        <v>1.0076625000000001</v>
      </c>
      <c r="I52" s="27"/>
      <c r="J52" s="72">
        <f>F52</f>
        <v>1.2999999999999999E-3</v>
      </c>
      <c r="K52" s="65">
        <f>K49</f>
        <v>775.12500000000011</v>
      </c>
      <c r="L52" s="73">
        <f t="shared" si="15"/>
        <v>1.0076625000000001</v>
      </c>
      <c r="M52" s="27"/>
      <c r="N52" s="30">
        <f t="shared" si="13"/>
        <v>0</v>
      </c>
      <c r="O52" s="74">
        <f t="shared" si="10"/>
        <v>0</v>
      </c>
      <c r="Q52" s="107"/>
      <c r="S52" s="107"/>
      <c r="U52" s="107"/>
      <c r="W52" s="107"/>
    </row>
    <row r="53" spans="2:23" x14ac:dyDescent="0.2">
      <c r="B53" s="21" t="s">
        <v>35</v>
      </c>
      <c r="C53" s="21"/>
      <c r="D53" s="22" t="s">
        <v>18</v>
      </c>
      <c r="E53" s="23"/>
      <c r="F53" s="72">
        <f>'Res (100)'!F53</f>
        <v>0.25</v>
      </c>
      <c r="G53" s="25">
        <v>1</v>
      </c>
      <c r="H53" s="73">
        <f t="shared" si="14"/>
        <v>0.25</v>
      </c>
      <c r="I53" s="27"/>
      <c r="J53" s="72">
        <f>F53</f>
        <v>0.25</v>
      </c>
      <c r="K53" s="29">
        <v>1</v>
      </c>
      <c r="L53" s="73">
        <f t="shared" si="15"/>
        <v>0.25</v>
      </c>
      <c r="M53" s="27"/>
      <c r="N53" s="30">
        <f t="shared" si="13"/>
        <v>0</v>
      </c>
      <c r="O53" s="74">
        <f t="shared" si="10"/>
        <v>0</v>
      </c>
      <c r="Q53" s="107"/>
      <c r="S53" s="107"/>
      <c r="U53" s="107"/>
      <c r="W53" s="107"/>
    </row>
    <row r="54" spans="2:23" x14ac:dyDescent="0.2">
      <c r="B54" s="21" t="s">
        <v>122</v>
      </c>
      <c r="C54" s="21"/>
      <c r="D54" s="22"/>
      <c r="E54" s="23"/>
      <c r="F54" s="72">
        <f>'Res (100)'!F54</f>
        <v>1.1000000000000001E-3</v>
      </c>
      <c r="G54" s="64">
        <f>$F$18*(1+F70)</f>
        <v>775.12500000000011</v>
      </c>
      <c r="H54" s="73">
        <f>G54*F54</f>
        <v>0.85263750000000016</v>
      </c>
      <c r="I54" s="27"/>
      <c r="J54" s="72">
        <f>'Res (100)'!J54</f>
        <v>1.1000000000000001E-3</v>
      </c>
      <c r="K54" s="65">
        <f>$F$18*(1+J70)</f>
        <v>775.12500000000011</v>
      </c>
      <c r="L54" s="73">
        <f>K54*J54</f>
        <v>0.85263750000000016</v>
      </c>
      <c r="M54" s="27"/>
      <c r="N54" s="30"/>
      <c r="O54" s="74"/>
      <c r="Q54" s="107"/>
      <c r="S54" s="107"/>
      <c r="U54" s="107"/>
      <c r="W54" s="107"/>
    </row>
    <row r="55" spans="2:23" x14ac:dyDescent="0.2">
      <c r="B55" s="49" t="s">
        <v>37</v>
      </c>
      <c r="C55" s="21"/>
      <c r="D55" s="22"/>
      <c r="E55" s="23"/>
      <c r="F55" s="72">
        <f>'Res (100)'!F55</f>
        <v>8.6999999999999994E-2</v>
      </c>
      <c r="G55" s="77">
        <f>0.65*$F$18</f>
        <v>487.5</v>
      </c>
      <c r="H55" s="73">
        <f t="shared" si="14"/>
        <v>42.412499999999994</v>
      </c>
      <c r="I55" s="27"/>
      <c r="J55" s="72">
        <f>F55</f>
        <v>8.6999999999999994E-2</v>
      </c>
      <c r="K55" s="77">
        <f>$G$55</f>
        <v>487.5</v>
      </c>
      <c r="L55" s="73">
        <f t="shared" si="15"/>
        <v>42.412499999999994</v>
      </c>
      <c r="M55" s="27"/>
      <c r="N55" s="30">
        <f t="shared" si="13"/>
        <v>0</v>
      </c>
      <c r="O55" s="74">
        <f t="shared" si="10"/>
        <v>0</v>
      </c>
      <c r="Q55" s="107"/>
      <c r="S55" s="107"/>
      <c r="U55" s="107"/>
      <c r="W55" s="107"/>
    </row>
    <row r="56" spans="2:23" x14ac:dyDescent="0.2">
      <c r="B56" s="49" t="s">
        <v>38</v>
      </c>
      <c r="C56" s="21"/>
      <c r="D56" s="22"/>
      <c r="E56" s="23"/>
      <c r="F56" s="72">
        <f>'Res (100)'!F56</f>
        <v>0.13200000000000001</v>
      </c>
      <c r="G56" s="77">
        <f>0.17*$F$18</f>
        <v>127.50000000000001</v>
      </c>
      <c r="H56" s="73">
        <f t="shared" si="14"/>
        <v>16.830000000000002</v>
      </c>
      <c r="I56" s="27"/>
      <c r="J56" s="72">
        <f>F56</f>
        <v>0.13200000000000001</v>
      </c>
      <c r="K56" s="77">
        <f>$G$56</f>
        <v>127.50000000000001</v>
      </c>
      <c r="L56" s="73">
        <f t="shared" si="15"/>
        <v>16.830000000000002</v>
      </c>
      <c r="M56" s="27"/>
      <c r="N56" s="30">
        <f t="shared" si="13"/>
        <v>0</v>
      </c>
      <c r="O56" s="74">
        <f t="shared" si="10"/>
        <v>0</v>
      </c>
      <c r="Q56" s="107"/>
      <c r="S56" s="107"/>
      <c r="U56" s="107"/>
      <c r="W56" s="107"/>
    </row>
    <row r="57" spans="2:23" x14ac:dyDescent="0.2">
      <c r="B57" s="11" t="s">
        <v>39</v>
      </c>
      <c r="C57" s="21"/>
      <c r="D57" s="22"/>
      <c r="E57" s="23"/>
      <c r="F57" s="72">
        <f>'Res (100)'!F57</f>
        <v>0.18</v>
      </c>
      <c r="G57" s="77">
        <f>0.18*$F$18</f>
        <v>135</v>
      </c>
      <c r="H57" s="73">
        <f t="shared" si="14"/>
        <v>24.3</v>
      </c>
      <c r="I57" s="27"/>
      <c r="J57" s="72">
        <f>F57</f>
        <v>0.18</v>
      </c>
      <c r="K57" s="77">
        <f>$G$57</f>
        <v>135</v>
      </c>
      <c r="L57" s="73">
        <f t="shared" si="15"/>
        <v>24.3</v>
      </c>
      <c r="M57" s="27"/>
      <c r="N57" s="30">
        <f t="shared" si="13"/>
        <v>0</v>
      </c>
      <c r="O57" s="74">
        <f t="shared" si="10"/>
        <v>0</v>
      </c>
      <c r="Q57" s="107"/>
      <c r="S57" s="107"/>
      <c r="U57" s="107"/>
      <c r="W57" s="107"/>
    </row>
    <row r="58" spans="2:23" s="85" customFormat="1" x14ac:dyDescent="0.2">
      <c r="B58" s="78" t="s">
        <v>40</v>
      </c>
      <c r="C58" s="79"/>
      <c r="D58" s="80"/>
      <c r="E58" s="81"/>
      <c r="F58" s="72">
        <f>'Res (100)'!F58</f>
        <v>0.10299999999999999</v>
      </c>
      <c r="G58" s="82">
        <f>IF(AND($Q$1=1, F18&gt;=600), 600, IF(AND($Q$1=1, AND(F18&lt;600, F18&gt;=0)), F18, IF(AND($Q$1=2, F18&gt;=1000), 1000, IF(AND($Q$1=2, AND(F18&lt;1000, F18&gt;=0)), F18))))</f>
        <v>600</v>
      </c>
      <c r="H58" s="73">
        <f>G58*F58</f>
        <v>61.8</v>
      </c>
      <c r="I58" s="83"/>
      <c r="J58" s="72">
        <f>F58</f>
        <v>0.10299999999999999</v>
      </c>
      <c r="K58" s="82">
        <f>$G$58</f>
        <v>600</v>
      </c>
      <c r="L58" s="73">
        <f>K58*J58</f>
        <v>61.8</v>
      </c>
      <c r="M58" s="83"/>
      <c r="N58" s="84">
        <f t="shared" si="13"/>
        <v>0</v>
      </c>
      <c r="O58" s="74">
        <f t="shared" si="10"/>
        <v>0</v>
      </c>
      <c r="Q58" s="143"/>
      <c r="R58" s="212"/>
      <c r="S58" s="143"/>
      <c r="T58" s="212"/>
      <c r="U58" s="143"/>
      <c r="V58" s="212"/>
      <c r="W58" s="143"/>
    </row>
    <row r="59" spans="2:23" s="85" customFormat="1" ht="13.5" thickBot="1" x14ac:dyDescent="0.25">
      <c r="B59" s="78" t="s">
        <v>41</v>
      </c>
      <c r="C59" s="79"/>
      <c r="D59" s="80"/>
      <c r="E59" s="81"/>
      <c r="F59" s="72">
        <f>'Res (100)'!F59</f>
        <v>0.121</v>
      </c>
      <c r="G59" s="82">
        <f>IF(AND($Q$1=1, F18&gt;=600), F18-600, IF(AND($Q$1=1, AND(F18&lt;600, F18&gt;=0)), 0, IF(AND($Q$1=2, F18&gt;=1000), F18-1000, IF(AND($Q$1=2, AND(F18&lt;1000, F18&gt;=0)), 0))))</f>
        <v>150</v>
      </c>
      <c r="H59" s="73">
        <f>G59*F59</f>
        <v>18.149999999999999</v>
      </c>
      <c r="I59" s="83"/>
      <c r="J59" s="72">
        <f>F59</f>
        <v>0.121</v>
      </c>
      <c r="K59" s="82">
        <f>$G$59</f>
        <v>150</v>
      </c>
      <c r="L59" s="73">
        <f>K59*J59</f>
        <v>18.149999999999999</v>
      </c>
      <c r="M59" s="83"/>
      <c r="N59" s="84">
        <f t="shared" si="13"/>
        <v>0</v>
      </c>
      <c r="O59" s="74">
        <f t="shared" si="10"/>
        <v>0</v>
      </c>
      <c r="Q59" s="143"/>
      <c r="R59" s="212"/>
      <c r="S59" s="143"/>
      <c r="T59" s="212"/>
      <c r="U59" s="143"/>
      <c r="V59" s="212"/>
      <c r="W59" s="143"/>
    </row>
    <row r="60" spans="2:23" ht="8.25" customHeight="1" thickBot="1" x14ac:dyDescent="0.25">
      <c r="B60" s="86"/>
      <c r="C60" s="87"/>
      <c r="D60" s="88"/>
      <c r="E60" s="87"/>
      <c r="F60" s="89"/>
      <c r="G60" s="90"/>
      <c r="H60" s="91"/>
      <c r="I60" s="92"/>
      <c r="J60" s="89"/>
      <c r="K60" s="93"/>
      <c r="L60" s="91"/>
      <c r="M60" s="92"/>
      <c r="N60" s="94"/>
      <c r="O60" s="95"/>
      <c r="Q60" s="107"/>
      <c r="S60" s="107"/>
      <c r="U60" s="107"/>
      <c r="W60" s="107"/>
    </row>
    <row r="61" spans="2:23" x14ac:dyDescent="0.2">
      <c r="B61" s="96" t="s">
        <v>42</v>
      </c>
      <c r="C61" s="21"/>
      <c r="D61" s="21"/>
      <c r="E61" s="21"/>
      <c r="F61" s="97"/>
      <c r="G61" s="98"/>
      <c r="H61" s="99">
        <f>SUM(H51:H57,H50)</f>
        <v>127.60897</v>
      </c>
      <c r="I61" s="100"/>
      <c r="J61" s="101"/>
      <c r="K61" s="101"/>
      <c r="L61" s="99">
        <f>SUM(L51:L57,L50)</f>
        <v>127.81269500000002</v>
      </c>
      <c r="M61" s="102"/>
      <c r="N61" s="103">
        <f t="shared" ref="N61" si="16">L61-H61</f>
        <v>0.20372500000001992</v>
      </c>
      <c r="O61" s="104">
        <f t="shared" ref="O61" si="17">IF((H61)=0,"",(N61/H61))</f>
        <v>1.5964786801430958E-3</v>
      </c>
      <c r="Q61" s="102"/>
      <c r="S61" s="102"/>
      <c r="U61" s="102"/>
      <c r="W61" s="102"/>
    </row>
    <row r="62" spans="2:23" x14ac:dyDescent="0.2">
      <c r="B62" s="105" t="s">
        <v>43</v>
      </c>
      <c r="C62" s="21"/>
      <c r="D62" s="21"/>
      <c r="E62" s="21"/>
      <c r="F62" s="106">
        <v>0.13</v>
      </c>
      <c r="G62" s="107"/>
      <c r="H62" s="108">
        <f>H61*F62</f>
        <v>16.5891661</v>
      </c>
      <c r="I62" s="109"/>
      <c r="J62" s="110">
        <v>0.13</v>
      </c>
      <c r="K62" s="109"/>
      <c r="L62" s="111">
        <f>L61*J62</f>
        <v>16.615650350000003</v>
      </c>
      <c r="M62" s="112"/>
      <c r="N62" s="113">
        <f t="shared" si="13"/>
        <v>2.6484250000002874E-2</v>
      </c>
      <c r="O62" s="114">
        <f t="shared" si="10"/>
        <v>1.596478680143113E-3</v>
      </c>
      <c r="Q62" s="112"/>
      <c r="S62" s="112"/>
      <c r="U62" s="112"/>
      <c r="W62" s="112"/>
    </row>
    <row r="63" spans="2:23" ht="13.5" thickBot="1" x14ac:dyDescent="0.25">
      <c r="B63" s="115" t="s">
        <v>44</v>
      </c>
      <c r="C63" s="21"/>
      <c r="D63" s="21"/>
      <c r="E63" s="21"/>
      <c r="F63" s="116"/>
      <c r="G63" s="107"/>
      <c r="H63" s="99">
        <f>H61+H62</f>
        <v>144.1981361</v>
      </c>
      <c r="I63" s="109"/>
      <c r="J63" s="109"/>
      <c r="K63" s="109"/>
      <c r="L63" s="220">
        <f>L61+L62</f>
        <v>144.42834535000003</v>
      </c>
      <c r="M63" s="112"/>
      <c r="N63" s="103">
        <f t="shared" si="13"/>
        <v>0.2302092500000299</v>
      </c>
      <c r="O63" s="104">
        <f t="shared" si="10"/>
        <v>1.5964786801431472E-3</v>
      </c>
      <c r="Q63" s="112"/>
      <c r="S63" s="112"/>
      <c r="U63" s="112"/>
      <c r="W63" s="112"/>
    </row>
    <row r="64" spans="2:23" s="85" customFormat="1" ht="8.25" customHeight="1" thickBot="1" x14ac:dyDescent="0.25">
      <c r="B64" s="117"/>
      <c r="C64" s="118"/>
      <c r="D64" s="119"/>
      <c r="E64" s="118"/>
      <c r="F64" s="89"/>
      <c r="G64" s="120"/>
      <c r="H64" s="91"/>
      <c r="I64" s="121"/>
      <c r="J64" s="89"/>
      <c r="K64" s="122"/>
      <c r="L64" s="91"/>
      <c r="M64" s="121"/>
      <c r="N64" s="123"/>
      <c r="O64" s="95"/>
      <c r="Q64" s="143"/>
      <c r="R64" s="212"/>
      <c r="S64" s="143"/>
      <c r="T64" s="212"/>
      <c r="U64" s="143"/>
      <c r="V64" s="212"/>
      <c r="W64" s="143"/>
    </row>
    <row r="65" spans="1:23" s="85" customFormat="1" x14ac:dyDescent="0.2">
      <c r="B65" s="124" t="s">
        <v>45</v>
      </c>
      <c r="C65" s="79"/>
      <c r="D65" s="79"/>
      <c r="E65" s="79"/>
      <c r="F65" s="125"/>
      <c r="G65" s="126"/>
      <c r="H65" s="127">
        <f>SUM(H58:H59,H50,H51:H54)</f>
        <v>124.01647000000001</v>
      </c>
      <c r="I65" s="128"/>
      <c r="J65" s="129"/>
      <c r="K65" s="129"/>
      <c r="L65" s="127">
        <f>SUM(L58:L59,L50,L51:L54)</f>
        <v>124.220195</v>
      </c>
      <c r="M65" s="130"/>
      <c r="N65" s="131">
        <f t="shared" ref="N65:N67" si="18">L65-H65</f>
        <v>0.2037249999999915</v>
      </c>
      <c r="O65" s="104">
        <f t="shared" ref="O65:O67" si="19">IF((H65)=0,"",(N65/H65))</f>
        <v>1.6427253573657716E-3</v>
      </c>
      <c r="Q65" s="130"/>
      <c r="R65" s="212"/>
      <c r="S65" s="130"/>
      <c r="T65" s="212"/>
      <c r="U65" s="130"/>
      <c r="V65" s="212"/>
      <c r="W65" s="130"/>
    </row>
    <row r="66" spans="1:23" s="85" customFormat="1" x14ac:dyDescent="0.2">
      <c r="B66" s="132" t="s">
        <v>43</v>
      </c>
      <c r="C66" s="79"/>
      <c r="D66" s="79"/>
      <c r="E66" s="79"/>
      <c r="F66" s="133">
        <v>0.13</v>
      </c>
      <c r="G66" s="126"/>
      <c r="H66" s="134">
        <f>H65*F66</f>
        <v>16.122141100000004</v>
      </c>
      <c r="I66" s="135"/>
      <c r="J66" s="136">
        <v>0.13</v>
      </c>
      <c r="K66" s="137"/>
      <c r="L66" s="138">
        <f>L65*J66</f>
        <v>16.14862535</v>
      </c>
      <c r="M66" s="139"/>
      <c r="N66" s="140">
        <f t="shared" si="18"/>
        <v>2.6484249999995768E-2</v>
      </c>
      <c r="O66" s="114">
        <f t="shared" si="19"/>
        <v>1.6427253573655773E-3</v>
      </c>
      <c r="Q66" s="139"/>
      <c r="R66" s="212"/>
      <c r="S66" s="139"/>
      <c r="T66" s="212"/>
      <c r="U66" s="139"/>
      <c r="V66" s="212"/>
      <c r="W66" s="139"/>
    </row>
    <row r="67" spans="1:23" s="85" customFormat="1" ht="13.5" thickBot="1" x14ac:dyDescent="0.25">
      <c r="B67" s="141" t="s">
        <v>44</v>
      </c>
      <c r="C67" s="79"/>
      <c r="D67" s="79"/>
      <c r="E67" s="79"/>
      <c r="F67" s="142"/>
      <c r="G67" s="143"/>
      <c r="H67" s="127">
        <f>H65+H66</f>
        <v>140.13861110000002</v>
      </c>
      <c r="I67" s="135"/>
      <c r="J67" s="135"/>
      <c r="K67" s="135"/>
      <c r="L67" s="219">
        <f>L65+L66</f>
        <v>140.36882034999999</v>
      </c>
      <c r="M67" s="139"/>
      <c r="N67" s="131">
        <f t="shared" si="18"/>
        <v>0.23020924999997305</v>
      </c>
      <c r="O67" s="104">
        <f t="shared" si="19"/>
        <v>1.6427253573656478E-3</v>
      </c>
      <c r="Q67" s="139"/>
      <c r="R67" s="212"/>
      <c r="S67" s="139"/>
      <c r="T67" s="212"/>
      <c r="U67" s="139"/>
      <c r="V67" s="212"/>
      <c r="W67" s="139"/>
    </row>
    <row r="68" spans="1:23" s="85" customFormat="1" ht="8.25" customHeight="1" thickBot="1" x14ac:dyDescent="0.25">
      <c r="B68" s="117"/>
      <c r="C68" s="118"/>
      <c r="D68" s="119"/>
      <c r="E68" s="118"/>
      <c r="F68" s="144"/>
      <c r="G68" s="145"/>
      <c r="H68" s="146"/>
      <c r="I68" s="147"/>
      <c r="J68" s="144"/>
      <c r="K68" s="120"/>
      <c r="L68" s="148"/>
      <c r="M68" s="121"/>
      <c r="N68" s="149"/>
      <c r="O68" s="95"/>
      <c r="Q68" s="143"/>
      <c r="R68" s="212"/>
      <c r="S68" s="143"/>
      <c r="T68" s="212"/>
      <c r="U68" s="143"/>
      <c r="V68" s="212"/>
      <c r="W68" s="143"/>
    </row>
    <row r="69" spans="1:23" x14ac:dyDescent="0.2">
      <c r="L69" s="150"/>
    </row>
    <row r="70" spans="1:23" x14ac:dyDescent="0.2">
      <c r="B70" s="12" t="s">
        <v>46</v>
      </c>
      <c r="F70" s="151">
        <f>'Res (100)'!F70</f>
        <v>3.3500000000000002E-2</v>
      </c>
      <c r="J70" s="151">
        <f>+'Res (100)'!J70</f>
        <v>3.3500000000000002E-2</v>
      </c>
    </row>
    <row r="71" spans="1:23" ht="13.5" thickBot="1" x14ac:dyDescent="0.25"/>
    <row r="72" spans="1:23" ht="8.25" customHeight="1" thickBot="1" x14ac:dyDescent="0.25">
      <c r="B72" s="86"/>
      <c r="C72" s="87"/>
      <c r="D72" s="88"/>
      <c r="E72" s="87"/>
      <c r="F72" s="89"/>
      <c r="G72" s="90"/>
      <c r="H72" s="91"/>
      <c r="I72" s="92"/>
      <c r="J72" s="89"/>
      <c r="K72" s="93"/>
      <c r="L72" s="91"/>
      <c r="M72" s="92"/>
      <c r="N72" s="94"/>
      <c r="O72" s="95"/>
      <c r="Q72" s="107"/>
      <c r="S72" s="107"/>
      <c r="U72" s="107"/>
      <c r="W72" s="107"/>
    </row>
    <row r="73" spans="1:23" x14ac:dyDescent="0.2">
      <c r="B73" s="96" t="s">
        <v>42</v>
      </c>
      <c r="C73" s="21"/>
      <c r="D73" s="21"/>
      <c r="E73" s="21"/>
      <c r="F73" s="97"/>
      <c r="G73" s="98"/>
      <c r="H73" s="99">
        <f>+H61-H31-H40-H41-H42</f>
        <v>129.05522000000002</v>
      </c>
      <c r="I73" s="100"/>
      <c r="J73" s="101"/>
      <c r="K73" s="101"/>
      <c r="L73" s="99">
        <f>+L61-L31-L40-L41-L42</f>
        <v>129.59269500000002</v>
      </c>
      <c r="M73" s="102"/>
      <c r="N73" s="103">
        <f t="shared" ref="N73:N75" si="20">L73-H73</f>
        <v>0.53747500000000059</v>
      </c>
      <c r="O73" s="104">
        <f t="shared" ref="O73:O75" si="21">IF((H73)=0,"",(N73/H73))</f>
        <v>4.1646901225692425E-3</v>
      </c>
      <c r="Q73" s="102"/>
      <c r="S73" s="102"/>
      <c r="U73" s="102"/>
      <c r="W73" s="102"/>
    </row>
    <row r="74" spans="1:23" x14ac:dyDescent="0.2">
      <c r="B74" s="105" t="s">
        <v>43</v>
      </c>
      <c r="C74" s="21"/>
      <c r="D74" s="21"/>
      <c r="E74" s="21"/>
      <c r="F74" s="106">
        <v>0.13</v>
      </c>
      <c r="G74" s="107"/>
      <c r="H74" s="108">
        <f>H73*F74</f>
        <v>16.777178600000003</v>
      </c>
      <c r="I74" s="109"/>
      <c r="J74" s="110">
        <v>0.13</v>
      </c>
      <c r="K74" s="109"/>
      <c r="L74" s="111">
        <f>L73*J74</f>
        <v>16.847050350000004</v>
      </c>
      <c r="M74" s="112"/>
      <c r="N74" s="113">
        <f t="shared" si="20"/>
        <v>6.9871750000000787E-2</v>
      </c>
      <c r="O74" s="114">
        <f t="shared" si="21"/>
        <v>4.1646901225692841E-3</v>
      </c>
      <c r="Q74" s="112"/>
      <c r="S74" s="112"/>
      <c r="U74" s="112"/>
      <c r="W74" s="112"/>
    </row>
    <row r="75" spans="1:23" x14ac:dyDescent="0.2">
      <c r="B75" s="115" t="s">
        <v>44</v>
      </c>
      <c r="C75" s="21"/>
      <c r="D75" s="21"/>
      <c r="E75" s="21"/>
      <c r="F75" s="213"/>
      <c r="G75" s="214"/>
      <c r="H75" s="225">
        <f>H73+H74</f>
        <v>145.83239860000003</v>
      </c>
      <c r="I75" s="215"/>
      <c r="J75" s="215"/>
      <c r="K75" s="215"/>
      <c r="L75" s="224">
        <f>L73+L74</f>
        <v>146.43974535000001</v>
      </c>
      <c r="M75" s="216"/>
      <c r="N75" s="223">
        <f t="shared" si="20"/>
        <v>0.60734674999997651</v>
      </c>
      <c r="O75" s="222">
        <f t="shared" si="21"/>
        <v>4.164690122569076E-3</v>
      </c>
      <c r="Q75" s="112"/>
      <c r="S75" s="112"/>
      <c r="U75" s="112"/>
      <c r="W75" s="112"/>
    </row>
    <row r="76" spans="1:23" ht="13.5" customHeight="1" x14ac:dyDescent="0.2">
      <c r="Q76" s="210"/>
      <c r="R76" s="210"/>
      <c r="S76" s="6"/>
      <c r="T76" s="6"/>
      <c r="U76" s="6"/>
      <c r="V76" s="6"/>
      <c r="W76" s="6"/>
    </row>
    <row r="77" spans="1:23" ht="12" customHeight="1" x14ac:dyDescent="0.2">
      <c r="A77" s="6" t="s">
        <v>47</v>
      </c>
      <c r="Q77" s="210"/>
      <c r="R77" s="210"/>
      <c r="S77" s="6"/>
      <c r="T77" s="6"/>
      <c r="U77" s="6"/>
      <c r="V77" s="6"/>
      <c r="W77" s="6"/>
    </row>
    <row r="78" spans="1:23" x14ac:dyDescent="0.2">
      <c r="A78" s="6" t="s">
        <v>48</v>
      </c>
      <c r="Q78" s="210"/>
      <c r="R78" s="210"/>
      <c r="S78" s="6"/>
      <c r="T78" s="6"/>
      <c r="U78" s="6"/>
      <c r="V78" s="6"/>
      <c r="W78" s="6"/>
    </row>
    <row r="79" spans="1:23" x14ac:dyDescent="0.2">
      <c r="Q79" s="210"/>
      <c r="R79" s="210"/>
      <c r="S79" s="6"/>
      <c r="T79" s="6"/>
      <c r="U79" s="6"/>
      <c r="V79" s="6"/>
      <c r="W79" s="6"/>
    </row>
    <row r="80" spans="1:23" x14ac:dyDescent="0.2">
      <c r="A80" s="153" t="s">
        <v>136</v>
      </c>
      <c r="Q80" s="210"/>
      <c r="R80" s="210"/>
      <c r="S80" s="6"/>
      <c r="T80" s="6"/>
      <c r="U80" s="6"/>
      <c r="V80" s="6"/>
      <c r="W80" s="6"/>
    </row>
    <row r="81" spans="1:23" x14ac:dyDescent="0.2">
      <c r="A81" s="11" t="s">
        <v>49</v>
      </c>
      <c r="Q81" s="210"/>
      <c r="R81" s="210"/>
      <c r="S81" s="6"/>
      <c r="T81" s="6"/>
      <c r="U81" s="6"/>
      <c r="V81" s="6"/>
      <c r="W81" s="6"/>
    </row>
    <row r="82" spans="1:23" x14ac:dyDescent="0.2">
      <c r="Q82" s="210"/>
      <c r="R82" s="210"/>
      <c r="S82" s="6"/>
      <c r="T82" s="6"/>
      <c r="U82" s="6"/>
      <c r="V82" s="6"/>
      <c r="W82" s="6"/>
    </row>
    <row r="83" spans="1:23" x14ac:dyDescent="0.2">
      <c r="A83" s="6" t="s">
        <v>135</v>
      </c>
      <c r="Q83" s="210"/>
      <c r="R83" s="210"/>
      <c r="S83" s="6"/>
      <c r="T83" s="6"/>
      <c r="U83" s="6"/>
      <c r="V83" s="6"/>
      <c r="W83" s="6"/>
    </row>
    <row r="84" spans="1:23" x14ac:dyDescent="0.2">
      <c r="A84" s="6" t="s">
        <v>50</v>
      </c>
      <c r="Q84" s="210"/>
      <c r="R84" s="210"/>
      <c r="S84" s="6"/>
      <c r="T84" s="6"/>
      <c r="U84" s="6"/>
      <c r="V84" s="6"/>
      <c r="W84" s="6"/>
    </row>
    <row r="85" spans="1:23" x14ac:dyDescent="0.2">
      <c r="A85" s="6" t="s">
        <v>51</v>
      </c>
      <c r="Q85" s="210"/>
      <c r="R85" s="210"/>
      <c r="S85" s="6"/>
      <c r="T85" s="6"/>
      <c r="U85" s="6"/>
      <c r="V85" s="6"/>
      <c r="W85" s="6"/>
    </row>
    <row r="86" spans="1:23" x14ac:dyDescent="0.2">
      <c r="A86" s="6" t="s">
        <v>52</v>
      </c>
      <c r="Q86" s="210"/>
      <c r="R86" s="210"/>
      <c r="S86" s="6"/>
      <c r="T86" s="6"/>
      <c r="U86" s="6"/>
      <c r="V86" s="6"/>
      <c r="W86" s="6"/>
    </row>
    <row r="87" spans="1:23" x14ac:dyDescent="0.2">
      <c r="A87" s="6" t="s">
        <v>53</v>
      </c>
      <c r="Q87" s="210"/>
      <c r="R87" s="210"/>
      <c r="S87" s="6"/>
      <c r="T87" s="6"/>
      <c r="U87" s="6"/>
      <c r="V87" s="6"/>
      <c r="W87" s="6"/>
    </row>
    <row r="88" spans="1:23" x14ac:dyDescent="0.2">
      <c r="Q88" s="210"/>
      <c r="R88" s="210"/>
      <c r="S88" s="6"/>
      <c r="T88" s="6"/>
      <c r="U88" s="6"/>
      <c r="V88" s="6"/>
      <c r="W88" s="6"/>
    </row>
    <row r="89" spans="1:23" x14ac:dyDescent="0.2">
      <c r="A89" s="152"/>
      <c r="B89" s="6" t="s">
        <v>54</v>
      </c>
      <c r="Q89" s="210"/>
      <c r="R89" s="210"/>
      <c r="S89" s="6"/>
      <c r="T89" s="6"/>
      <c r="U89" s="6"/>
      <c r="V89" s="6"/>
      <c r="W89" s="6"/>
    </row>
    <row r="90" spans="1:23" x14ac:dyDescent="0.2">
      <c r="Q90" s="210"/>
      <c r="R90" s="210"/>
      <c r="S90" s="6"/>
      <c r="T90" s="6"/>
      <c r="U90" s="6"/>
      <c r="V90" s="6"/>
      <c r="W90" s="6"/>
    </row>
    <row r="91" spans="1:23" x14ac:dyDescent="0.2">
      <c r="B91" s="153" t="s">
        <v>55</v>
      </c>
      <c r="Q91" s="210"/>
      <c r="R91" s="210"/>
      <c r="S91" s="6"/>
      <c r="T91" s="6"/>
      <c r="U91" s="6"/>
      <c r="V91" s="6"/>
      <c r="W91"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E48:E49 E68 E64 E23:E38 E40:E46 E72 E51:E60">
      <formula1>#REF!</formula1>
    </dataValidation>
    <dataValidation type="list" allowBlank="1" showInputMessage="1" showErrorMessage="1" prompt="Select Charge Unit - monthly, per kWh, per kW" sqref="D68 D64 D23:D38 D72 D48:D49 D40:D46 D51:D60">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9" orientation="portrait" r:id="rId1"/>
  <headerFooter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96257" r:id="rId4" name="Option Button 1">
              <controlPr defaultSize="0" autoFill="0" autoLine="0" autoPict="0">
                <anchor moveWithCells="1">
                  <from>
                    <xdr:col>6</xdr:col>
                    <xdr:colOff>476250</xdr:colOff>
                    <xdr:row>16</xdr:row>
                    <xdr:rowOff>171450</xdr:rowOff>
                  </from>
                  <to>
                    <xdr:col>9</xdr:col>
                    <xdr:colOff>476250</xdr:colOff>
                    <xdr:row>18</xdr:row>
                    <xdr:rowOff>28575</xdr:rowOff>
                  </to>
                </anchor>
              </controlPr>
            </control>
          </mc:Choice>
        </mc:AlternateContent>
        <mc:AlternateContent xmlns:mc="http://schemas.openxmlformats.org/markup-compatibility/2006">
          <mc:Choice Requires="x14">
            <control shapeId="96258" r:id="rId5" name="Option Button 2">
              <controlPr defaultSize="0" autoFill="0" autoLine="0" autoPict="0">
                <anchor moveWithCells="1">
                  <from>
                    <xdr:col>9</xdr:col>
                    <xdr:colOff>361950</xdr:colOff>
                    <xdr:row>16</xdr:row>
                    <xdr:rowOff>114300</xdr:rowOff>
                  </from>
                  <to>
                    <xdr:col>15</xdr:col>
                    <xdr:colOff>247650</xdr:colOff>
                    <xdr:row>18</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91"/>
  <sheetViews>
    <sheetView showGridLines="0" view="pageBreakPreview" topLeftCell="A4" zoomScale="70" zoomScaleNormal="85" zoomScaleSheetLayoutView="70" workbookViewId="0">
      <pane xSplit="5" ySplit="19" topLeftCell="F23" activePane="bottomRight" state="frozen"/>
      <selection activeCell="O41" sqref="O41"/>
      <selection pane="topRight" activeCell="O41" sqref="O41"/>
      <selection pane="bottomLeft" activeCell="O41" sqref="O41"/>
      <selection pane="bottomRight" activeCell="O41" sqref="O41"/>
    </sheetView>
  </sheetViews>
  <sheetFormatPr defaultColWidth="9.140625" defaultRowHeight="12.75" x14ac:dyDescent="0.2"/>
  <cols>
    <col min="1" max="1" width="2.140625" style="6" customWidth="1"/>
    <col min="2" max="2" width="26.5703125" style="6" customWidth="1"/>
    <col min="3" max="3" width="1.28515625" style="6" customWidth="1"/>
    <col min="4" max="4" width="11.28515625" style="6" customWidth="1"/>
    <col min="5" max="5" width="1.28515625" style="6" customWidth="1"/>
    <col min="6" max="6" width="19.7109375" style="6" bestFit="1" customWidth="1"/>
    <col min="7" max="7" width="9.85546875" style="6" bestFit="1" customWidth="1"/>
    <col min="8" max="8" width="12.5703125" style="6" bestFit="1" customWidth="1"/>
    <col min="9" max="9" width="2.85546875" style="6" customWidth="1"/>
    <col min="10" max="10" width="11.5703125" style="6" bestFit="1" customWidth="1"/>
    <col min="11" max="11" width="9.85546875" style="6" bestFit="1" customWidth="1"/>
    <col min="12" max="12" width="12.5703125" style="6" bestFit="1" customWidth="1"/>
    <col min="13" max="13" width="2.85546875" style="6" customWidth="1"/>
    <col min="14" max="14" width="11.85546875" style="6" bestFit="1" customWidth="1"/>
    <col min="15" max="15" width="12" style="6" bestFit="1" customWidth="1"/>
    <col min="16" max="16" width="3.85546875" style="6" customWidth="1"/>
    <col min="17" max="17" width="2.7109375" style="211" bestFit="1" customWidth="1"/>
    <col min="18" max="18" width="4.5703125" style="211" customWidth="1"/>
    <col min="19" max="19" width="2.7109375" style="211" bestFit="1" customWidth="1"/>
    <col min="20" max="20" width="4.5703125" style="211" customWidth="1"/>
    <col min="21" max="21" width="2.7109375" style="211" bestFit="1" customWidth="1"/>
    <col min="22" max="22" width="4.5703125" style="211" customWidth="1"/>
    <col min="23" max="23" width="2.7109375" style="211" bestFit="1" customWidth="1"/>
    <col min="24" max="16384" width="9.140625" style="6"/>
  </cols>
  <sheetData>
    <row r="1" spans="1:23" s="2" customFormat="1" ht="15" customHeight="1" x14ac:dyDescent="0.2">
      <c r="A1" s="1"/>
      <c r="B1" s="1"/>
      <c r="C1" s="1"/>
      <c r="D1" s="1"/>
      <c r="E1" s="1"/>
      <c r="F1" s="1"/>
      <c r="G1" s="1"/>
      <c r="H1" s="1"/>
      <c r="I1" s="1"/>
      <c r="J1" s="1"/>
      <c r="K1" s="1"/>
      <c r="N1" s="164"/>
      <c r="O1" s="165"/>
      <c r="P1"/>
      <c r="Q1" s="211">
        <v>1</v>
      </c>
      <c r="R1" s="211"/>
      <c r="S1" s="211">
        <v>1</v>
      </c>
      <c r="T1" s="211"/>
      <c r="U1" s="211">
        <v>1</v>
      </c>
      <c r="V1" s="211"/>
      <c r="W1" s="211">
        <v>1</v>
      </c>
    </row>
    <row r="2" spans="1:23" s="2" customFormat="1" ht="15" customHeight="1" x14ac:dyDescent="0.25">
      <c r="A2" s="3"/>
      <c r="B2" s="3"/>
      <c r="C2" s="3"/>
      <c r="D2" s="3"/>
      <c r="E2" s="3"/>
      <c r="F2" s="3"/>
      <c r="G2" s="3"/>
      <c r="H2" s="3"/>
      <c r="I2" s="3"/>
      <c r="J2" s="3"/>
      <c r="K2" s="3"/>
      <c r="N2" s="164"/>
      <c r="O2" s="166"/>
      <c r="P2"/>
      <c r="Q2" s="211"/>
      <c r="R2" s="211"/>
      <c r="S2" s="211"/>
      <c r="T2" s="211"/>
      <c r="U2" s="211"/>
      <c r="V2" s="211"/>
      <c r="W2" s="211"/>
    </row>
    <row r="3" spans="1:23" s="2" customFormat="1" ht="15" customHeight="1" x14ac:dyDescent="0.25">
      <c r="A3" s="268"/>
      <c r="B3" s="268"/>
      <c r="C3" s="268"/>
      <c r="D3" s="268"/>
      <c r="E3" s="268"/>
      <c r="F3" s="268"/>
      <c r="G3" s="268"/>
      <c r="H3" s="268"/>
      <c r="I3" s="268"/>
      <c r="J3" s="268"/>
      <c r="K3" s="268"/>
      <c r="N3" s="164"/>
      <c r="O3" s="166"/>
      <c r="P3"/>
      <c r="Q3" s="211"/>
      <c r="R3" s="211"/>
      <c r="S3" s="211"/>
      <c r="T3" s="211"/>
      <c r="U3" s="211"/>
      <c r="V3" s="211"/>
      <c r="W3" s="211"/>
    </row>
    <row r="4" spans="1:23" s="2" customFormat="1" ht="15" customHeight="1" x14ac:dyDescent="0.25">
      <c r="A4" s="3"/>
      <c r="B4" s="3"/>
      <c r="C4" s="3"/>
      <c r="D4" s="3"/>
      <c r="E4" s="3"/>
      <c r="F4" s="3"/>
      <c r="G4" s="3"/>
      <c r="H4" s="3"/>
      <c r="I4" s="4"/>
      <c r="J4" s="4"/>
      <c r="K4" s="4"/>
      <c r="N4" s="164"/>
      <c r="O4" s="166"/>
      <c r="P4"/>
      <c r="Q4" s="211"/>
      <c r="R4" s="211"/>
      <c r="S4" s="211"/>
      <c r="T4" s="211"/>
      <c r="U4" s="211"/>
      <c r="V4" s="211"/>
      <c r="W4" s="211"/>
    </row>
    <row r="5" spans="1:23" s="2" customFormat="1" ht="15" customHeight="1" x14ac:dyDescent="0.25">
      <c r="C5" s="5"/>
      <c r="D5" s="5"/>
      <c r="E5" s="5"/>
      <c r="N5" s="164"/>
      <c r="O5" s="165"/>
      <c r="P5"/>
      <c r="Q5" s="211"/>
      <c r="R5" s="211"/>
      <c r="S5" s="211"/>
      <c r="T5" s="211"/>
      <c r="U5" s="211"/>
      <c r="V5" s="211"/>
      <c r="W5" s="211"/>
    </row>
    <row r="6" spans="1:23" s="2" customFormat="1" ht="9" customHeight="1" x14ac:dyDescent="0.2">
      <c r="N6" s="164"/>
      <c r="O6" s="165"/>
      <c r="P6"/>
      <c r="Q6" s="211"/>
      <c r="R6" s="211"/>
      <c r="S6" s="211"/>
      <c r="T6" s="211"/>
      <c r="U6" s="211"/>
      <c r="V6" s="211"/>
      <c r="W6" s="211"/>
    </row>
    <row r="7" spans="1:23" s="2" customFormat="1" x14ac:dyDescent="0.2">
      <c r="N7" s="164"/>
      <c r="O7" s="165"/>
      <c r="P7"/>
      <c r="Q7" s="211"/>
      <c r="R7" s="211"/>
      <c r="S7" s="211"/>
      <c r="T7" s="211"/>
      <c r="U7" s="211"/>
      <c r="V7" s="211"/>
      <c r="W7" s="211"/>
    </row>
    <row r="8" spans="1:23" s="2" customFormat="1" ht="15" customHeight="1" x14ac:dyDescent="0.2">
      <c r="N8" s="45"/>
      <c r="O8" s="168"/>
      <c r="P8"/>
      <c r="Q8" s="211"/>
      <c r="R8" s="211"/>
      <c r="S8" s="211"/>
      <c r="T8" s="211"/>
      <c r="U8" s="211"/>
      <c r="V8" s="211"/>
      <c r="W8" s="211"/>
    </row>
    <row r="9" spans="1:23" ht="7.5" customHeight="1" x14ac:dyDescent="0.2">
      <c r="L9"/>
      <c r="M9"/>
      <c r="N9"/>
      <c r="O9"/>
      <c r="P9"/>
    </row>
    <row r="10" spans="1:23" ht="18.75" customHeight="1" x14ac:dyDescent="0.25">
      <c r="C10" s="167"/>
      <c r="D10" s="167"/>
      <c r="E10" s="167"/>
      <c r="F10" s="167" t="s">
        <v>137</v>
      </c>
      <c r="G10" s="167"/>
      <c r="H10" s="167"/>
      <c r="I10" s="167"/>
      <c r="J10" s="167"/>
      <c r="K10" s="167"/>
      <c r="L10" s="167"/>
      <c r="M10" s="167"/>
      <c r="N10" s="167"/>
      <c r="O10" s="167"/>
      <c r="P10"/>
    </row>
    <row r="11" spans="1:23" ht="18.75" customHeight="1" x14ac:dyDescent="0.25">
      <c r="C11" s="167"/>
      <c r="D11" s="167"/>
      <c r="E11" s="167"/>
      <c r="F11" s="167" t="s">
        <v>0</v>
      </c>
      <c r="G11" s="167"/>
      <c r="H11" s="167"/>
      <c r="I11" s="167"/>
      <c r="J11" s="167"/>
      <c r="K11" s="167"/>
      <c r="L11" s="167"/>
      <c r="M11" s="167"/>
      <c r="N11" s="167"/>
      <c r="O11" s="167"/>
      <c r="P11"/>
    </row>
    <row r="12" spans="1:23" ht="7.5" customHeight="1" x14ac:dyDescent="0.2">
      <c r="L12"/>
      <c r="M12"/>
      <c r="N12"/>
      <c r="O12"/>
      <c r="P12"/>
    </row>
    <row r="13" spans="1:23" ht="7.5" customHeight="1" x14ac:dyDescent="0.2">
      <c r="L13"/>
      <c r="M13"/>
      <c r="N13"/>
      <c r="O13"/>
      <c r="P13"/>
    </row>
    <row r="14" spans="1:23" ht="15.75" x14ac:dyDescent="0.2">
      <c r="B14" s="7" t="s">
        <v>1</v>
      </c>
      <c r="D14" s="269" t="s">
        <v>2</v>
      </c>
      <c r="E14" s="269"/>
      <c r="F14" s="269"/>
      <c r="G14" s="269"/>
      <c r="H14" s="269"/>
      <c r="I14" s="269"/>
      <c r="J14" s="269"/>
      <c r="K14" s="269"/>
      <c r="L14" s="269"/>
      <c r="M14" s="269"/>
      <c r="N14" s="269"/>
      <c r="O14" s="269"/>
      <c r="P14" s="170"/>
    </row>
    <row r="15" spans="1:23" ht="7.5" customHeight="1" x14ac:dyDescent="0.25">
      <c r="B15" s="8"/>
      <c r="D15" s="9"/>
      <c r="E15" s="9"/>
      <c r="F15" s="9"/>
      <c r="G15" s="9"/>
      <c r="H15" s="9"/>
      <c r="I15" s="9"/>
      <c r="J15" s="9"/>
      <c r="K15" s="9"/>
      <c r="L15" s="9"/>
      <c r="M15" s="9"/>
      <c r="N15" s="9"/>
      <c r="O15" s="9"/>
    </row>
    <row r="16" spans="1:23" ht="15.75" x14ac:dyDescent="0.25">
      <c r="B16" s="7" t="s">
        <v>3</v>
      </c>
      <c r="D16" s="10" t="s">
        <v>4</v>
      </c>
      <c r="E16" s="9"/>
      <c r="F16" s="9"/>
      <c r="G16" s="9"/>
      <c r="H16" s="9"/>
      <c r="I16" s="9"/>
      <c r="J16" s="9"/>
      <c r="K16" s="9"/>
      <c r="L16" s="9"/>
      <c r="M16" s="9"/>
      <c r="N16" s="9"/>
      <c r="O16" s="9"/>
    </row>
    <row r="17" spans="2:23" ht="15.75" x14ac:dyDescent="0.25">
      <c r="B17" s="8"/>
      <c r="D17" s="9"/>
      <c r="E17" s="9"/>
      <c r="F17" s="9"/>
      <c r="G17" s="9"/>
      <c r="H17" s="9"/>
      <c r="I17" s="9"/>
      <c r="J17" s="9"/>
      <c r="K17" s="9"/>
      <c r="L17" s="9"/>
      <c r="M17" s="9"/>
      <c r="N17" s="9"/>
      <c r="O17" s="9"/>
    </row>
    <row r="18" spans="2:23" x14ac:dyDescent="0.2">
      <c r="B18" s="11"/>
      <c r="D18" s="12" t="s">
        <v>5</v>
      </c>
      <c r="E18" s="12"/>
      <c r="F18" s="13">
        <v>800</v>
      </c>
      <c r="G18" s="12" t="s">
        <v>6</v>
      </c>
    </row>
    <row r="19" spans="2:23" x14ac:dyDescent="0.2">
      <c r="B19" s="11"/>
    </row>
    <row r="20" spans="2:23" x14ac:dyDescent="0.2">
      <c r="B20" s="11"/>
      <c r="D20" s="14"/>
      <c r="E20" s="14"/>
      <c r="F20" s="270" t="s">
        <v>7</v>
      </c>
      <c r="G20" s="271"/>
      <c r="H20" s="272"/>
      <c r="J20" s="270" t="s">
        <v>8</v>
      </c>
      <c r="K20" s="271"/>
      <c r="L20" s="272"/>
      <c r="N20" s="270" t="s">
        <v>9</v>
      </c>
      <c r="O20" s="272"/>
    </row>
    <row r="21" spans="2:23" x14ac:dyDescent="0.2">
      <c r="B21" s="11"/>
      <c r="D21" s="262" t="s">
        <v>10</v>
      </c>
      <c r="E21" s="15"/>
      <c r="F21" s="16" t="s">
        <v>11</v>
      </c>
      <c r="G21" s="16" t="s">
        <v>12</v>
      </c>
      <c r="H21" s="17" t="s">
        <v>13</v>
      </c>
      <c r="J21" s="16" t="s">
        <v>11</v>
      </c>
      <c r="K21" s="18" t="s">
        <v>12</v>
      </c>
      <c r="L21" s="17" t="s">
        <v>13</v>
      </c>
      <c r="N21" s="264" t="s">
        <v>14</v>
      </c>
      <c r="O21" s="266" t="s">
        <v>15</v>
      </c>
    </row>
    <row r="22" spans="2:23" x14ac:dyDescent="0.2">
      <c r="B22" s="11"/>
      <c r="D22" s="263"/>
      <c r="E22" s="15"/>
      <c r="F22" s="19" t="s">
        <v>16</v>
      </c>
      <c r="G22" s="19"/>
      <c r="H22" s="20" t="s">
        <v>16</v>
      </c>
      <c r="J22" s="19" t="s">
        <v>16</v>
      </c>
      <c r="K22" s="20"/>
      <c r="L22" s="20" t="s">
        <v>16</v>
      </c>
      <c r="N22" s="265"/>
      <c r="O22" s="267"/>
    </row>
    <row r="23" spans="2:23" x14ac:dyDescent="0.2">
      <c r="B23" s="21" t="s">
        <v>17</v>
      </c>
      <c r="C23" s="21"/>
      <c r="D23" s="22" t="s">
        <v>18</v>
      </c>
      <c r="E23" s="23"/>
      <c r="F23" s="24">
        <f>+'Res (100)'!F23</f>
        <v>12.96</v>
      </c>
      <c r="G23" s="25">
        <v>1</v>
      </c>
      <c r="H23" s="186">
        <f>G23*F23</f>
        <v>12.96</v>
      </c>
      <c r="I23" s="27"/>
      <c r="J23" s="24">
        <f>+'Res (100)'!J23</f>
        <v>16.600000000000001</v>
      </c>
      <c r="K23" s="29">
        <v>1</v>
      </c>
      <c r="L23" s="186">
        <f>K23*J23</f>
        <v>16.600000000000001</v>
      </c>
      <c r="M23" s="27"/>
      <c r="N23" s="187">
        <f>L23-H23</f>
        <v>3.6400000000000006</v>
      </c>
      <c r="O23" s="31">
        <f>IF((H23)=0,"",(N23/H23))</f>
        <v>0.28086419753086422</v>
      </c>
      <c r="Q23" s="107"/>
      <c r="S23" s="107"/>
      <c r="U23" s="107"/>
      <c r="W23" s="107"/>
    </row>
    <row r="24" spans="2:23" x14ac:dyDescent="0.2">
      <c r="B24" s="21" t="s">
        <v>19</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
      <c r="B29" s="21" t="s">
        <v>20</v>
      </c>
      <c r="C29" s="21"/>
      <c r="D29" s="22" t="s">
        <v>21</v>
      </c>
      <c r="E29" s="23"/>
      <c r="F29" s="24">
        <f>+'Res (100)'!F29</f>
        <v>1.9300000000000001E-2</v>
      </c>
      <c r="G29" s="25">
        <f>$F$18</f>
        <v>800</v>
      </c>
      <c r="H29" s="186">
        <f t="shared" si="0"/>
        <v>15.440000000000001</v>
      </c>
      <c r="I29" s="27"/>
      <c r="J29" s="24">
        <f>+'Res (100)'!J29</f>
        <v>1.5100000000000001E-2</v>
      </c>
      <c r="K29" s="25">
        <f>$F$18</f>
        <v>800</v>
      </c>
      <c r="L29" s="186">
        <f t="shared" si="1"/>
        <v>12.08</v>
      </c>
      <c r="M29" s="27"/>
      <c r="N29" s="187">
        <f t="shared" si="2"/>
        <v>-3.3600000000000012</v>
      </c>
      <c r="O29" s="31">
        <f t="shared" si="3"/>
        <v>-0.21761658031088088</v>
      </c>
      <c r="Q29" s="107"/>
      <c r="S29" s="107"/>
      <c r="U29" s="107"/>
      <c r="W29" s="107"/>
    </row>
    <row r="30" spans="2:23" x14ac:dyDescent="0.2">
      <c r="B30" s="21" t="s">
        <v>22</v>
      </c>
      <c r="C30" s="21"/>
      <c r="D30" s="22"/>
      <c r="E30" s="23"/>
      <c r="F30" s="24"/>
      <c r="G30" s="25">
        <f t="shared" ref="G30" si="4">$F$18</f>
        <v>800</v>
      </c>
      <c r="H30" s="26">
        <f t="shared" si="0"/>
        <v>0</v>
      </c>
      <c r="I30" s="27"/>
      <c r="J30" s="24"/>
      <c r="K30" s="25">
        <f t="shared" ref="K30:K38" si="5">$F$18</f>
        <v>800</v>
      </c>
      <c r="L30" s="26">
        <f t="shared" si="1"/>
        <v>0</v>
      </c>
      <c r="M30" s="27"/>
      <c r="N30" s="30">
        <f t="shared" si="2"/>
        <v>0</v>
      </c>
      <c r="O30" s="31" t="str">
        <f t="shared" si="3"/>
        <v/>
      </c>
      <c r="Q30" s="107"/>
      <c r="S30" s="107"/>
      <c r="U30" s="107"/>
      <c r="W30" s="107"/>
    </row>
    <row r="31" spans="2:23" x14ac:dyDescent="0.2">
      <c r="B31" s="21" t="s">
        <v>23</v>
      </c>
      <c r="C31" s="21"/>
      <c r="D31" s="22" t="s">
        <v>21</v>
      </c>
      <c r="E31" s="23"/>
      <c r="F31" s="24">
        <f>+'Res (100)'!F31</f>
        <v>-2.0000000000000002E-5</v>
      </c>
      <c r="G31" s="25">
        <f>$F$18</f>
        <v>800</v>
      </c>
      <c r="H31" s="26">
        <f>G31*F31</f>
        <v>-1.6E-2</v>
      </c>
      <c r="I31" s="27"/>
      <c r="J31" s="52">
        <f>+'Res (100)'!J31</f>
        <v>0</v>
      </c>
      <c r="K31" s="25">
        <f t="shared" si="5"/>
        <v>800</v>
      </c>
      <c r="L31" s="26">
        <f t="shared" si="1"/>
        <v>0</v>
      </c>
      <c r="M31" s="27"/>
      <c r="N31" s="30">
        <f t="shared" si="2"/>
        <v>1.6E-2</v>
      </c>
      <c r="O31" s="31">
        <f t="shared" si="3"/>
        <v>-1</v>
      </c>
      <c r="Q31" s="107"/>
      <c r="S31" s="107"/>
      <c r="U31" s="107"/>
      <c r="W31" s="107"/>
    </row>
    <row r="32" spans="2:23" x14ac:dyDescent="0.2">
      <c r="B32" s="33"/>
      <c r="C32" s="21"/>
      <c r="D32" s="22"/>
      <c r="E32" s="23"/>
      <c r="F32" s="24"/>
      <c r="G32" s="25">
        <f t="shared" ref="G32:G38" si="6">$F$18</f>
        <v>800</v>
      </c>
      <c r="H32" s="26">
        <f t="shared" si="0"/>
        <v>0</v>
      </c>
      <c r="I32" s="27"/>
      <c r="J32" s="28"/>
      <c r="K32" s="25">
        <f t="shared" si="5"/>
        <v>800</v>
      </c>
      <c r="L32" s="26">
        <f t="shared" si="1"/>
        <v>0</v>
      </c>
      <c r="M32" s="27"/>
      <c r="N32" s="30">
        <f t="shared" si="2"/>
        <v>0</v>
      </c>
      <c r="O32" s="31" t="str">
        <f t="shared" si="3"/>
        <v/>
      </c>
      <c r="Q32" s="107"/>
      <c r="S32" s="107"/>
      <c r="U32" s="107"/>
      <c r="W32" s="107"/>
    </row>
    <row r="33" spans="2:23" x14ac:dyDescent="0.2">
      <c r="B33" s="33"/>
      <c r="C33" s="21"/>
      <c r="D33" s="22"/>
      <c r="E33" s="23"/>
      <c r="F33" s="24"/>
      <c r="G33" s="25">
        <f t="shared" si="6"/>
        <v>800</v>
      </c>
      <c r="H33" s="26">
        <f t="shared" si="0"/>
        <v>0</v>
      </c>
      <c r="I33" s="27"/>
      <c r="J33" s="28"/>
      <c r="K33" s="25">
        <f t="shared" si="5"/>
        <v>800</v>
      </c>
      <c r="L33" s="26">
        <f t="shared" si="1"/>
        <v>0</v>
      </c>
      <c r="M33" s="27"/>
      <c r="N33" s="30">
        <f t="shared" si="2"/>
        <v>0</v>
      </c>
      <c r="O33" s="31" t="str">
        <f t="shared" si="3"/>
        <v/>
      </c>
      <c r="Q33" s="107"/>
      <c r="S33" s="107"/>
      <c r="U33" s="107"/>
      <c r="W33" s="107"/>
    </row>
    <row r="34" spans="2:23" x14ac:dyDescent="0.2">
      <c r="B34" s="33"/>
      <c r="C34" s="21"/>
      <c r="D34" s="22"/>
      <c r="E34" s="23"/>
      <c r="F34" s="24"/>
      <c r="G34" s="25">
        <f t="shared" si="6"/>
        <v>800</v>
      </c>
      <c r="H34" s="26">
        <f t="shared" si="0"/>
        <v>0</v>
      </c>
      <c r="I34" s="27"/>
      <c r="J34" s="28"/>
      <c r="K34" s="25">
        <f t="shared" si="5"/>
        <v>800</v>
      </c>
      <c r="L34" s="26">
        <f t="shared" si="1"/>
        <v>0</v>
      </c>
      <c r="M34" s="27"/>
      <c r="N34" s="30">
        <f t="shared" si="2"/>
        <v>0</v>
      </c>
      <c r="O34" s="31" t="str">
        <f t="shared" si="3"/>
        <v/>
      </c>
      <c r="Q34" s="107"/>
      <c r="S34" s="107"/>
      <c r="U34" s="107"/>
      <c r="W34" s="107"/>
    </row>
    <row r="35" spans="2:23" x14ac:dyDescent="0.2">
      <c r="B35" s="33"/>
      <c r="C35" s="21"/>
      <c r="D35" s="22"/>
      <c r="E35" s="23"/>
      <c r="F35" s="24"/>
      <c r="G35" s="25">
        <f t="shared" si="6"/>
        <v>800</v>
      </c>
      <c r="H35" s="26">
        <f t="shared" si="0"/>
        <v>0</v>
      </c>
      <c r="I35" s="27"/>
      <c r="J35" s="28"/>
      <c r="K35" s="25">
        <f t="shared" si="5"/>
        <v>800</v>
      </c>
      <c r="L35" s="26">
        <f t="shared" si="1"/>
        <v>0</v>
      </c>
      <c r="M35" s="27"/>
      <c r="N35" s="30">
        <f t="shared" si="2"/>
        <v>0</v>
      </c>
      <c r="O35" s="31" t="str">
        <f t="shared" si="3"/>
        <v/>
      </c>
      <c r="Q35" s="107"/>
      <c r="S35" s="107"/>
      <c r="U35" s="107"/>
      <c r="W35" s="107"/>
    </row>
    <row r="36" spans="2:23" x14ac:dyDescent="0.2">
      <c r="B36" s="33"/>
      <c r="C36" s="21"/>
      <c r="D36" s="22"/>
      <c r="E36" s="23"/>
      <c r="F36" s="24"/>
      <c r="G36" s="25">
        <f t="shared" si="6"/>
        <v>800</v>
      </c>
      <c r="H36" s="26">
        <f t="shared" si="0"/>
        <v>0</v>
      </c>
      <c r="I36" s="27"/>
      <c r="J36" s="28"/>
      <c r="K36" s="25">
        <f t="shared" si="5"/>
        <v>800</v>
      </c>
      <c r="L36" s="26">
        <f t="shared" si="1"/>
        <v>0</v>
      </c>
      <c r="M36" s="27"/>
      <c r="N36" s="30">
        <f t="shared" si="2"/>
        <v>0</v>
      </c>
      <c r="O36" s="31" t="str">
        <f t="shared" si="3"/>
        <v/>
      </c>
      <c r="Q36" s="107"/>
      <c r="S36" s="107"/>
      <c r="U36" s="107"/>
      <c r="W36" s="107"/>
    </row>
    <row r="37" spans="2:23" x14ac:dyDescent="0.2">
      <c r="B37" s="33"/>
      <c r="C37" s="21"/>
      <c r="D37" s="22"/>
      <c r="E37" s="23"/>
      <c r="F37" s="24"/>
      <c r="G37" s="25">
        <f t="shared" si="6"/>
        <v>800</v>
      </c>
      <c r="H37" s="26">
        <f t="shared" si="0"/>
        <v>0</v>
      </c>
      <c r="I37" s="27"/>
      <c r="J37" s="28"/>
      <c r="K37" s="25">
        <f t="shared" si="5"/>
        <v>800</v>
      </c>
      <c r="L37" s="26">
        <f t="shared" si="1"/>
        <v>0</v>
      </c>
      <c r="M37" s="27"/>
      <c r="N37" s="30">
        <f t="shared" si="2"/>
        <v>0</v>
      </c>
      <c r="O37" s="31" t="str">
        <f t="shared" si="3"/>
        <v/>
      </c>
      <c r="Q37" s="107"/>
      <c r="S37" s="107"/>
      <c r="U37" s="107"/>
      <c r="W37" s="107"/>
    </row>
    <row r="38" spans="2:23" x14ac:dyDescent="0.2">
      <c r="B38" s="33"/>
      <c r="C38" s="21"/>
      <c r="D38" s="22"/>
      <c r="E38" s="23"/>
      <c r="F38" s="24"/>
      <c r="G38" s="25">
        <f t="shared" si="6"/>
        <v>800</v>
      </c>
      <c r="H38" s="26">
        <f t="shared" si="0"/>
        <v>0</v>
      </c>
      <c r="I38" s="27"/>
      <c r="J38" s="28"/>
      <c r="K38" s="25">
        <f t="shared" si="5"/>
        <v>800</v>
      </c>
      <c r="L38" s="26">
        <f t="shared" si="1"/>
        <v>0</v>
      </c>
      <c r="M38" s="27"/>
      <c r="N38" s="30">
        <f t="shared" si="2"/>
        <v>0</v>
      </c>
      <c r="O38" s="31" t="str">
        <f t="shared" si="3"/>
        <v/>
      </c>
      <c r="Q38" s="107"/>
      <c r="S38" s="107"/>
      <c r="U38" s="107"/>
      <c r="W38" s="107"/>
    </row>
    <row r="39" spans="2:23" s="45" customFormat="1" x14ac:dyDescent="0.2">
      <c r="B39" s="34" t="s">
        <v>24</v>
      </c>
      <c r="C39" s="35"/>
      <c r="D39" s="36"/>
      <c r="E39" s="35"/>
      <c r="F39" s="37"/>
      <c r="G39" s="38"/>
      <c r="H39" s="39">
        <f>SUM(H23:H38)</f>
        <v>28.384000000000004</v>
      </c>
      <c r="I39" s="40"/>
      <c r="J39" s="41"/>
      <c r="K39" s="42"/>
      <c r="L39" s="39">
        <f>SUM(L23:L38)</f>
        <v>28.68</v>
      </c>
      <c r="M39" s="40"/>
      <c r="N39" s="43">
        <f t="shared" si="2"/>
        <v>0.29599999999999582</v>
      </c>
      <c r="O39" s="44">
        <f t="shared" si="3"/>
        <v>1.0428410372040437E-2</v>
      </c>
      <c r="Q39" s="107"/>
      <c r="R39" s="211"/>
      <c r="S39" s="107"/>
      <c r="T39" s="211"/>
      <c r="U39" s="107"/>
      <c r="V39" s="211"/>
      <c r="W39" s="107"/>
    </row>
    <row r="40" spans="2:23" ht="38.25" x14ac:dyDescent="0.2">
      <c r="B40" s="46" t="str">
        <f>+'Res (100)'!B40</f>
        <v>Deferral/Variance Account Disposition Rate Rider Group 1</v>
      </c>
      <c r="C40" s="21"/>
      <c r="D40" s="22" t="s">
        <v>21</v>
      </c>
      <c r="E40" s="23"/>
      <c r="F40" s="24">
        <f>'Res (100)'!F40</f>
        <v>-8.2600000000000002E-4</v>
      </c>
      <c r="G40" s="25">
        <f>$F$18</f>
        <v>800</v>
      </c>
      <c r="H40" s="26">
        <f>G40*F40</f>
        <v>-0.66080000000000005</v>
      </c>
      <c r="I40" s="27"/>
      <c r="J40" s="28">
        <f>+'Res (100)'!J40</f>
        <v>-1E-4</v>
      </c>
      <c r="K40" s="25">
        <f>$F$18</f>
        <v>800</v>
      </c>
      <c r="L40" s="26">
        <f>K40*J40</f>
        <v>-0.08</v>
      </c>
      <c r="M40" s="27"/>
      <c r="N40" s="30">
        <f>L40-H40</f>
        <v>0.58080000000000009</v>
      </c>
      <c r="O40" s="31">
        <f>IF((H40)=0,"",(N40/H40))</f>
        <v>-0.87893462469733663</v>
      </c>
      <c r="Q40" s="107"/>
      <c r="S40" s="107"/>
      <c r="U40" s="107"/>
      <c r="W40" s="107"/>
    </row>
    <row r="41" spans="2:23" ht="38.25" x14ac:dyDescent="0.2">
      <c r="B41" s="46" t="str">
        <f>+'Res (100)'!B41</f>
        <v>Deferral/Variance Account Disposition Rate Rider Group 2</v>
      </c>
      <c r="C41" s="21"/>
      <c r="D41" s="22" t="s">
        <v>18</v>
      </c>
      <c r="E41" s="23"/>
      <c r="F41" s="24">
        <f>'Res (100)'!F41</f>
        <v>0.32</v>
      </c>
      <c r="G41" s="25">
        <v>1</v>
      </c>
      <c r="H41" s="26">
        <f t="shared" ref="H41:H45" si="7">G41*F41</f>
        <v>0.32</v>
      </c>
      <c r="I41" s="47"/>
      <c r="J41" s="28">
        <f>+'Res (100)'!J41</f>
        <v>0.02</v>
      </c>
      <c r="K41" s="25">
        <v>1</v>
      </c>
      <c r="L41" s="26">
        <f t="shared" ref="L41:L45" si="8">K41*J41</f>
        <v>0.02</v>
      </c>
      <c r="M41" s="48"/>
      <c r="N41" s="30">
        <f t="shared" ref="N41:N45" si="9">L41-H41</f>
        <v>-0.3</v>
      </c>
      <c r="O41" s="31">
        <f t="shared" ref="O41:O63" si="10">IF((H41)=0,"",(N41/H41))</f>
        <v>-0.9375</v>
      </c>
      <c r="Q41" s="107"/>
      <c r="S41" s="107"/>
      <c r="U41" s="107"/>
      <c r="W41" s="107"/>
    </row>
    <row r="42" spans="2:23" ht="38.25" x14ac:dyDescent="0.2">
      <c r="B42" s="46" t="str">
        <f>+'Res (100)'!B42</f>
        <v>Deferral / Variance Accounts Balances (excluding Global Adj.) - NON-WMP</v>
      </c>
      <c r="C42" s="21"/>
      <c r="D42" s="22" t="s">
        <v>21</v>
      </c>
      <c r="E42" s="23"/>
      <c r="F42" s="24">
        <f>'Res (232)'!F42</f>
        <v>-1.5089999999999999E-3</v>
      </c>
      <c r="G42" s="25">
        <f t="shared" ref="G42:G43" si="11">$F$18</f>
        <v>800</v>
      </c>
      <c r="H42" s="26">
        <f t="shared" si="7"/>
        <v>-1.2071999999999998</v>
      </c>
      <c r="I42" s="47"/>
      <c r="J42" s="28">
        <f>+'Res (100)'!J42</f>
        <v>-2.3E-3</v>
      </c>
      <c r="K42" s="25">
        <f t="shared" ref="K42:K43" si="12">$F$18</f>
        <v>800</v>
      </c>
      <c r="L42" s="26">
        <f t="shared" si="8"/>
        <v>-1.8399999999999999</v>
      </c>
      <c r="M42" s="48"/>
      <c r="N42" s="30">
        <f t="shared" si="9"/>
        <v>-0.63280000000000003</v>
      </c>
      <c r="O42" s="31">
        <f t="shared" si="10"/>
        <v>0.52418820410868139</v>
      </c>
      <c r="Q42" s="107"/>
      <c r="S42" s="107"/>
      <c r="U42" s="107"/>
      <c r="W42" s="107"/>
    </row>
    <row r="43" spans="2:23" ht="38.25" x14ac:dyDescent="0.2">
      <c r="B43" s="46" t="s">
        <v>128</v>
      </c>
      <c r="C43" s="21"/>
      <c r="D43" s="22" t="s">
        <v>21</v>
      </c>
      <c r="E43" s="23"/>
      <c r="F43" s="24">
        <f>+'Res (100)'!F43</f>
        <v>0</v>
      </c>
      <c r="G43" s="25">
        <f t="shared" si="11"/>
        <v>800</v>
      </c>
      <c r="H43" s="26">
        <f t="shared" si="7"/>
        <v>0</v>
      </c>
      <c r="I43" s="47"/>
      <c r="J43" s="233">
        <f>+'Res (100)'!J43</f>
        <v>2.7E-4</v>
      </c>
      <c r="K43" s="25">
        <f t="shared" si="12"/>
        <v>800</v>
      </c>
      <c r="L43" s="26">
        <f t="shared" si="8"/>
        <v>0.216</v>
      </c>
      <c r="M43" s="48"/>
      <c r="N43" s="30">
        <f t="shared" si="9"/>
        <v>0.216</v>
      </c>
      <c r="O43" s="31" t="str">
        <f t="shared" si="10"/>
        <v/>
      </c>
      <c r="Q43" s="107"/>
      <c r="S43" s="107"/>
      <c r="U43" s="107"/>
      <c r="W43" s="107"/>
    </row>
    <row r="44" spans="2:23" x14ac:dyDescent="0.2">
      <c r="B44" s="49" t="s">
        <v>26</v>
      </c>
      <c r="C44" s="21"/>
      <c r="D44" s="22" t="s">
        <v>21</v>
      </c>
      <c r="E44" s="23"/>
      <c r="F44" s="50">
        <f>'Res (100)'!F44</f>
        <v>6.9999999999999994E-5</v>
      </c>
      <c r="G44" s="51">
        <f>$F$18*(1+F70)</f>
        <v>826.80000000000007</v>
      </c>
      <c r="H44" s="26">
        <f>G44*F44</f>
        <v>5.7875999999999997E-2</v>
      </c>
      <c r="I44" s="27"/>
      <c r="J44" s="52">
        <f>'Res (100)'!J44</f>
        <v>6.9999999999999994E-5</v>
      </c>
      <c r="K44" s="51">
        <f>$F$18*(1+J70)</f>
        <v>826.80000000000007</v>
      </c>
      <c r="L44" s="26">
        <f>K44*J44</f>
        <v>5.7875999999999997E-2</v>
      </c>
      <c r="M44" s="27"/>
      <c r="N44" s="30">
        <f>L44-H44</f>
        <v>0</v>
      </c>
      <c r="O44" s="31">
        <f>IF((H44)=0,"",(N44/H44))</f>
        <v>0</v>
      </c>
      <c r="Q44" s="107"/>
      <c r="S44" s="107"/>
      <c r="U44" s="107"/>
      <c r="W44" s="107"/>
    </row>
    <row r="45" spans="2:23" x14ac:dyDescent="0.2">
      <c r="B45" s="49" t="s">
        <v>27</v>
      </c>
      <c r="C45" s="21"/>
      <c r="D45" s="22"/>
      <c r="E45" s="23"/>
      <c r="F45" s="53">
        <f>IF(ISBLANK(D16)=TRUE, 0, IF(D16="TOU", 0.65*$F$55+0.17*$F$56+0.18*$F$57, IF(AND(D16="non-TOU", G59&gt;0), F59,F58)))</f>
        <v>0.11139</v>
      </c>
      <c r="G45" s="54">
        <f>$F$18*(1+$F$70)-$F$18</f>
        <v>26.800000000000068</v>
      </c>
      <c r="H45" s="26">
        <f t="shared" si="7"/>
        <v>2.9852520000000076</v>
      </c>
      <c r="I45" s="27"/>
      <c r="J45" s="55">
        <f>0.65*$J$55+0.17*$J$56+0.18*$J$57</f>
        <v>0.11139</v>
      </c>
      <c r="K45" s="54">
        <f>$F$18*(1+$J$70)-$F$18</f>
        <v>26.800000000000068</v>
      </c>
      <c r="L45" s="26">
        <f t="shared" si="8"/>
        <v>2.9852520000000076</v>
      </c>
      <c r="M45" s="27"/>
      <c r="N45" s="30">
        <f t="shared" si="9"/>
        <v>0</v>
      </c>
      <c r="O45" s="31">
        <f t="shared" si="10"/>
        <v>0</v>
      </c>
      <c r="Q45" s="107"/>
      <c r="S45" s="107"/>
      <c r="U45" s="107"/>
      <c r="W45" s="107"/>
    </row>
    <row r="46" spans="2:23" x14ac:dyDescent="0.2">
      <c r="B46" s="49" t="s">
        <v>28</v>
      </c>
      <c r="C46" s="21"/>
      <c r="D46" s="22" t="s">
        <v>18</v>
      </c>
      <c r="E46" s="23"/>
      <c r="F46" s="53">
        <f>'Res (100)'!F46</f>
        <v>0.79</v>
      </c>
      <c r="G46" s="25">
        <v>1</v>
      </c>
      <c r="H46" s="26">
        <f>G46*F46</f>
        <v>0.79</v>
      </c>
      <c r="I46" s="27"/>
      <c r="J46" s="53">
        <f>'Res (100)'!J46</f>
        <v>0.79</v>
      </c>
      <c r="K46" s="25">
        <v>1</v>
      </c>
      <c r="L46" s="26">
        <f>K46*J46</f>
        <v>0.79</v>
      </c>
      <c r="M46" s="27"/>
      <c r="N46" s="30">
        <f>L46-H46</f>
        <v>0</v>
      </c>
      <c r="O46" s="31">
        <f t="shared" si="10"/>
        <v>0</v>
      </c>
      <c r="Q46" s="107"/>
      <c r="S46" s="107"/>
      <c r="U46" s="107"/>
      <c r="W46" s="107"/>
    </row>
    <row r="47" spans="2:23" ht="25.5" x14ac:dyDescent="0.2">
      <c r="B47" s="56" t="s">
        <v>29</v>
      </c>
      <c r="C47" s="57"/>
      <c r="D47" s="57"/>
      <c r="E47" s="57"/>
      <c r="F47" s="58"/>
      <c r="G47" s="59"/>
      <c r="H47" s="60">
        <f>SUM(H40:H46)+H39</f>
        <v>30.669128000000011</v>
      </c>
      <c r="I47" s="40"/>
      <c r="J47" s="59"/>
      <c r="K47" s="61"/>
      <c r="L47" s="60">
        <f>SUM(L40:L46)+L39</f>
        <v>30.829128000000008</v>
      </c>
      <c r="M47" s="40"/>
      <c r="N47" s="43">
        <f t="shared" ref="N47:N63" si="13">L47-H47</f>
        <v>0.15999999999999659</v>
      </c>
      <c r="O47" s="44">
        <f t="shared" si="10"/>
        <v>5.2169725855914957E-3</v>
      </c>
      <c r="Q47" s="107"/>
      <c r="S47" s="107"/>
      <c r="U47" s="107"/>
      <c r="W47" s="107"/>
    </row>
    <row r="48" spans="2:23" x14ac:dyDescent="0.2">
      <c r="B48" s="27" t="s">
        <v>30</v>
      </c>
      <c r="C48" s="27"/>
      <c r="D48" s="62" t="s">
        <v>21</v>
      </c>
      <c r="E48" s="63"/>
      <c r="F48" s="28">
        <f>'Res (100)'!F48</f>
        <v>7.6E-3</v>
      </c>
      <c r="G48" s="64">
        <f>F18*(1+F70)</f>
        <v>826.80000000000007</v>
      </c>
      <c r="H48" s="26">
        <f>G48*F48</f>
        <v>6.2836800000000004</v>
      </c>
      <c r="I48" s="27"/>
      <c r="J48" s="28">
        <f>'Res (100)'!J48</f>
        <v>7.4000000000000003E-3</v>
      </c>
      <c r="K48" s="65">
        <f>F18*(1+J70)</f>
        <v>826.80000000000007</v>
      </c>
      <c r="L48" s="26">
        <f>K48*J48</f>
        <v>6.1183200000000006</v>
      </c>
      <c r="M48" s="27"/>
      <c r="N48" s="30">
        <f t="shared" si="13"/>
        <v>-0.16535999999999973</v>
      </c>
      <c r="O48" s="31">
        <f t="shared" si="10"/>
        <v>-2.6315789473684167E-2</v>
      </c>
      <c r="Q48" s="107"/>
      <c r="S48" s="107"/>
      <c r="U48" s="107"/>
      <c r="W48" s="107"/>
    </row>
    <row r="49" spans="2:23" ht="25.5" x14ac:dyDescent="0.2">
      <c r="B49" s="66" t="s">
        <v>31</v>
      </c>
      <c r="C49" s="27"/>
      <c r="D49" s="62" t="s">
        <v>21</v>
      </c>
      <c r="E49" s="63"/>
      <c r="F49" s="28">
        <f>'Res (100)'!F49</f>
        <v>4.7000000000000002E-3</v>
      </c>
      <c r="G49" s="64">
        <f>G48</f>
        <v>826.80000000000007</v>
      </c>
      <c r="H49" s="26">
        <f>G49*F49</f>
        <v>3.8859600000000003</v>
      </c>
      <c r="I49" s="27"/>
      <c r="J49" s="28">
        <f>'Res (100)'!J49</f>
        <v>4.7000000000000002E-3</v>
      </c>
      <c r="K49" s="65">
        <f>K48</f>
        <v>826.80000000000007</v>
      </c>
      <c r="L49" s="26">
        <f>K49*J49</f>
        <v>3.8859600000000003</v>
      </c>
      <c r="M49" s="27"/>
      <c r="N49" s="30">
        <f t="shared" si="13"/>
        <v>0</v>
      </c>
      <c r="O49" s="31">
        <f t="shared" si="10"/>
        <v>0</v>
      </c>
      <c r="Q49" s="107"/>
      <c r="S49" s="107"/>
      <c r="U49" s="107"/>
      <c r="W49" s="107"/>
    </row>
    <row r="50" spans="2:23" ht="25.5" x14ac:dyDescent="0.2">
      <c r="B50" s="56" t="s">
        <v>32</v>
      </c>
      <c r="C50" s="35"/>
      <c r="D50" s="35"/>
      <c r="E50" s="35"/>
      <c r="F50" s="67"/>
      <c r="G50" s="59"/>
      <c r="H50" s="60">
        <f>SUM(H47:H49)</f>
        <v>40.838768000000009</v>
      </c>
      <c r="I50" s="68"/>
      <c r="J50" s="69"/>
      <c r="K50" s="70"/>
      <c r="L50" s="60">
        <f>SUM(L47:L49)</f>
        <v>40.833408000000006</v>
      </c>
      <c r="M50" s="68"/>
      <c r="N50" s="43">
        <f t="shared" si="13"/>
        <v>-5.36000000000314E-3</v>
      </c>
      <c r="O50" s="44">
        <f t="shared" si="10"/>
        <v>-1.312478378388677E-4</v>
      </c>
      <c r="Q50" s="102"/>
      <c r="S50" s="102"/>
      <c r="U50" s="102"/>
      <c r="W50" s="102"/>
    </row>
    <row r="51" spans="2:23" ht="25.5" x14ac:dyDescent="0.2">
      <c r="B51" s="71" t="s">
        <v>33</v>
      </c>
      <c r="C51" s="21"/>
      <c r="D51" s="22" t="s">
        <v>21</v>
      </c>
      <c r="E51" s="23"/>
      <c r="F51" s="72">
        <f>'Res (100)'!F51</f>
        <v>3.5999999999999999E-3</v>
      </c>
      <c r="G51" s="64">
        <f>G49</f>
        <v>826.80000000000007</v>
      </c>
      <c r="H51" s="73">
        <f t="shared" ref="H51:H57" si="14">G51*F51</f>
        <v>2.97648</v>
      </c>
      <c r="I51" s="27"/>
      <c r="J51" s="72">
        <f>F51</f>
        <v>3.5999999999999999E-3</v>
      </c>
      <c r="K51" s="65">
        <f>K49</f>
        <v>826.80000000000007</v>
      </c>
      <c r="L51" s="73">
        <f t="shared" ref="L51:L57" si="15">K51*J51</f>
        <v>2.97648</v>
      </c>
      <c r="M51" s="27"/>
      <c r="N51" s="30">
        <f t="shared" si="13"/>
        <v>0</v>
      </c>
      <c r="O51" s="74">
        <f t="shared" si="10"/>
        <v>0</v>
      </c>
      <c r="Q51" s="107"/>
      <c r="S51" s="107"/>
      <c r="U51" s="107"/>
      <c r="W51" s="107"/>
    </row>
    <row r="52" spans="2:23" ht="25.5" x14ac:dyDescent="0.2">
      <c r="B52" s="71" t="s">
        <v>34</v>
      </c>
      <c r="C52" s="21"/>
      <c r="D52" s="22" t="s">
        <v>21</v>
      </c>
      <c r="E52" s="23"/>
      <c r="F52" s="72">
        <f>'Res (100)'!F52</f>
        <v>1.2999999999999999E-3</v>
      </c>
      <c r="G52" s="64">
        <f>G49</f>
        <v>826.80000000000007</v>
      </c>
      <c r="H52" s="73">
        <f t="shared" si="14"/>
        <v>1.07484</v>
      </c>
      <c r="I52" s="27"/>
      <c r="J52" s="72">
        <f>F52</f>
        <v>1.2999999999999999E-3</v>
      </c>
      <c r="K52" s="65">
        <f>K49</f>
        <v>826.80000000000007</v>
      </c>
      <c r="L52" s="73">
        <f t="shared" si="15"/>
        <v>1.07484</v>
      </c>
      <c r="M52" s="27"/>
      <c r="N52" s="30">
        <f t="shared" si="13"/>
        <v>0</v>
      </c>
      <c r="O52" s="74">
        <f t="shared" si="10"/>
        <v>0</v>
      </c>
      <c r="Q52" s="107"/>
      <c r="S52" s="107"/>
      <c r="U52" s="107"/>
      <c r="W52" s="107"/>
    </row>
    <row r="53" spans="2:23" x14ac:dyDescent="0.2">
      <c r="B53" s="21" t="s">
        <v>35</v>
      </c>
      <c r="C53" s="21"/>
      <c r="D53" s="22" t="s">
        <v>18</v>
      </c>
      <c r="E53" s="23"/>
      <c r="F53" s="72">
        <f>'Res (100)'!F53</f>
        <v>0.25</v>
      </c>
      <c r="G53" s="25">
        <v>1</v>
      </c>
      <c r="H53" s="73">
        <f t="shared" si="14"/>
        <v>0.25</v>
      </c>
      <c r="I53" s="27"/>
      <c r="J53" s="72">
        <f>F53</f>
        <v>0.25</v>
      </c>
      <c r="K53" s="29">
        <v>1</v>
      </c>
      <c r="L53" s="73">
        <f t="shared" si="15"/>
        <v>0.25</v>
      </c>
      <c r="M53" s="27"/>
      <c r="N53" s="30">
        <f t="shared" si="13"/>
        <v>0</v>
      </c>
      <c r="O53" s="74">
        <f t="shared" si="10"/>
        <v>0</v>
      </c>
      <c r="Q53" s="107"/>
      <c r="S53" s="107"/>
      <c r="U53" s="107"/>
      <c r="W53" s="107"/>
    </row>
    <row r="54" spans="2:23" x14ac:dyDescent="0.2">
      <c r="B54" s="21" t="s">
        <v>122</v>
      </c>
      <c r="C54" s="21"/>
      <c r="D54" s="22"/>
      <c r="E54" s="23"/>
      <c r="F54" s="72">
        <f>'Res (100)'!F54</f>
        <v>1.1000000000000001E-3</v>
      </c>
      <c r="G54" s="64">
        <f>$F$18*(1+F70)</f>
        <v>826.80000000000007</v>
      </c>
      <c r="H54" s="73">
        <f>G54*F54</f>
        <v>0.90948000000000018</v>
      </c>
      <c r="I54" s="27"/>
      <c r="J54" s="72">
        <f>'Res (100)'!J54</f>
        <v>1.1000000000000001E-3</v>
      </c>
      <c r="K54" s="65">
        <f>$F$18*(1+J70)</f>
        <v>826.80000000000007</v>
      </c>
      <c r="L54" s="73">
        <f>K54*J54</f>
        <v>0.90948000000000018</v>
      </c>
      <c r="M54" s="27"/>
      <c r="N54" s="30"/>
      <c r="O54" s="74"/>
      <c r="Q54" s="107"/>
      <c r="S54" s="107"/>
      <c r="U54" s="107"/>
      <c r="W54" s="107"/>
    </row>
    <row r="55" spans="2:23" x14ac:dyDescent="0.2">
      <c r="B55" s="49" t="s">
        <v>37</v>
      </c>
      <c r="C55" s="21"/>
      <c r="D55" s="22"/>
      <c r="E55" s="23"/>
      <c r="F55" s="72">
        <f>'Res (100)'!F55</f>
        <v>8.6999999999999994E-2</v>
      </c>
      <c r="G55" s="77">
        <f>0.65*$F$18</f>
        <v>520</v>
      </c>
      <c r="H55" s="73">
        <f t="shared" si="14"/>
        <v>45.239999999999995</v>
      </c>
      <c r="I55" s="27"/>
      <c r="J55" s="72">
        <f>F55</f>
        <v>8.6999999999999994E-2</v>
      </c>
      <c r="K55" s="77">
        <f>$G$55</f>
        <v>520</v>
      </c>
      <c r="L55" s="73">
        <f t="shared" si="15"/>
        <v>45.239999999999995</v>
      </c>
      <c r="M55" s="27"/>
      <c r="N55" s="30">
        <f t="shared" si="13"/>
        <v>0</v>
      </c>
      <c r="O55" s="74">
        <f t="shared" si="10"/>
        <v>0</v>
      </c>
      <c r="Q55" s="107"/>
      <c r="S55" s="107"/>
      <c r="U55" s="107"/>
      <c r="W55" s="107"/>
    </row>
    <row r="56" spans="2:23" x14ac:dyDescent="0.2">
      <c r="B56" s="49" t="s">
        <v>38</v>
      </c>
      <c r="C56" s="21"/>
      <c r="D56" s="22"/>
      <c r="E56" s="23"/>
      <c r="F56" s="72">
        <f>'Res (100)'!F56</f>
        <v>0.13200000000000001</v>
      </c>
      <c r="G56" s="77">
        <f>0.17*$F$18</f>
        <v>136</v>
      </c>
      <c r="H56" s="73">
        <f t="shared" si="14"/>
        <v>17.952000000000002</v>
      </c>
      <c r="I56" s="27"/>
      <c r="J56" s="72">
        <f>F56</f>
        <v>0.13200000000000001</v>
      </c>
      <c r="K56" s="77">
        <f>$G$56</f>
        <v>136</v>
      </c>
      <c r="L56" s="73">
        <f t="shared" si="15"/>
        <v>17.952000000000002</v>
      </c>
      <c r="M56" s="27"/>
      <c r="N56" s="30">
        <f t="shared" si="13"/>
        <v>0</v>
      </c>
      <c r="O56" s="74">
        <f t="shared" si="10"/>
        <v>0</v>
      </c>
      <c r="Q56" s="107"/>
      <c r="S56" s="107"/>
      <c r="U56" s="107"/>
      <c r="W56" s="107"/>
    </row>
    <row r="57" spans="2:23" x14ac:dyDescent="0.2">
      <c r="B57" s="11" t="s">
        <v>39</v>
      </c>
      <c r="C57" s="21"/>
      <c r="D57" s="22"/>
      <c r="E57" s="23"/>
      <c r="F57" s="72">
        <f>'Res (100)'!F57</f>
        <v>0.18</v>
      </c>
      <c r="G57" s="77">
        <f>0.18*$F$18</f>
        <v>144</v>
      </c>
      <c r="H57" s="73">
        <f t="shared" si="14"/>
        <v>25.919999999999998</v>
      </c>
      <c r="I57" s="27"/>
      <c r="J57" s="72">
        <f>F57</f>
        <v>0.18</v>
      </c>
      <c r="K57" s="77">
        <f>$G$57</f>
        <v>144</v>
      </c>
      <c r="L57" s="73">
        <f t="shared" si="15"/>
        <v>25.919999999999998</v>
      </c>
      <c r="M57" s="27"/>
      <c r="N57" s="30">
        <f t="shared" si="13"/>
        <v>0</v>
      </c>
      <c r="O57" s="74">
        <f t="shared" si="10"/>
        <v>0</v>
      </c>
      <c r="Q57" s="107"/>
      <c r="S57" s="107"/>
      <c r="U57" s="107"/>
      <c r="W57" s="107"/>
    </row>
    <row r="58" spans="2:23" s="85" customFormat="1" x14ac:dyDescent="0.2">
      <c r="B58" s="78" t="s">
        <v>40</v>
      </c>
      <c r="C58" s="79"/>
      <c r="D58" s="80"/>
      <c r="E58" s="81"/>
      <c r="F58" s="72">
        <f>'Res (100)'!F58</f>
        <v>0.10299999999999999</v>
      </c>
      <c r="G58" s="82">
        <f>IF(AND($Q$1=1, F18&gt;=600), 600, IF(AND($Q$1=1, AND(F18&lt;600, F18&gt;=0)), F18, IF(AND($Q$1=2, F18&gt;=1000), 1000, IF(AND($Q$1=2, AND(F18&lt;1000, F18&gt;=0)), F18))))</f>
        <v>600</v>
      </c>
      <c r="H58" s="73">
        <f>G58*F58</f>
        <v>61.8</v>
      </c>
      <c r="I58" s="83"/>
      <c r="J58" s="72">
        <f>F58</f>
        <v>0.10299999999999999</v>
      </c>
      <c r="K58" s="82">
        <f>$G$58</f>
        <v>600</v>
      </c>
      <c r="L58" s="73">
        <f>K58*J58</f>
        <v>61.8</v>
      </c>
      <c r="M58" s="83"/>
      <c r="N58" s="84">
        <f t="shared" si="13"/>
        <v>0</v>
      </c>
      <c r="O58" s="74">
        <f t="shared" si="10"/>
        <v>0</v>
      </c>
      <c r="Q58" s="143"/>
      <c r="R58" s="212"/>
      <c r="S58" s="143"/>
      <c r="T58" s="212"/>
      <c r="U58" s="143"/>
      <c r="V58" s="212"/>
      <c r="W58" s="143"/>
    </row>
    <row r="59" spans="2:23" s="85" customFormat="1" ht="13.5" thickBot="1" x14ac:dyDescent="0.25">
      <c r="B59" s="78" t="s">
        <v>41</v>
      </c>
      <c r="C59" s="79"/>
      <c r="D59" s="80"/>
      <c r="E59" s="81"/>
      <c r="F59" s="72">
        <f>'Res (100)'!F59</f>
        <v>0.121</v>
      </c>
      <c r="G59" s="82">
        <f>IF(AND($Q$1=1, F18&gt;=600), F18-600, IF(AND($Q$1=1, AND(F18&lt;600, F18&gt;=0)), 0, IF(AND($Q$1=2, F18&gt;=1000), F18-1000, IF(AND($Q$1=2, AND(F18&lt;1000, F18&gt;=0)), 0))))</f>
        <v>200</v>
      </c>
      <c r="H59" s="73">
        <f>G59*F59</f>
        <v>24.2</v>
      </c>
      <c r="I59" s="83"/>
      <c r="J59" s="72">
        <f>F59</f>
        <v>0.121</v>
      </c>
      <c r="K59" s="82">
        <f>$G$59</f>
        <v>200</v>
      </c>
      <c r="L59" s="73">
        <f>K59*J59</f>
        <v>24.2</v>
      </c>
      <c r="M59" s="83"/>
      <c r="N59" s="84">
        <f t="shared" si="13"/>
        <v>0</v>
      </c>
      <c r="O59" s="74">
        <f t="shared" si="10"/>
        <v>0</v>
      </c>
      <c r="Q59" s="143"/>
      <c r="R59" s="212"/>
      <c r="S59" s="143"/>
      <c r="T59" s="212"/>
      <c r="U59" s="143"/>
      <c r="V59" s="212"/>
      <c r="W59" s="143"/>
    </row>
    <row r="60" spans="2:23" ht="8.25" customHeight="1" thickBot="1" x14ac:dyDescent="0.25">
      <c r="B60" s="86"/>
      <c r="C60" s="87"/>
      <c r="D60" s="88"/>
      <c r="E60" s="87"/>
      <c r="F60" s="89"/>
      <c r="G60" s="90"/>
      <c r="H60" s="91"/>
      <c r="I60" s="92"/>
      <c r="J60" s="89"/>
      <c r="K60" s="93"/>
      <c r="L60" s="91"/>
      <c r="M60" s="92"/>
      <c r="N60" s="94"/>
      <c r="O60" s="95"/>
      <c r="Q60" s="107"/>
      <c r="S60" s="107"/>
      <c r="U60" s="107"/>
      <c r="W60" s="107"/>
    </row>
    <row r="61" spans="2:23" x14ac:dyDescent="0.2">
      <c r="B61" s="96" t="s">
        <v>42</v>
      </c>
      <c r="C61" s="21"/>
      <c r="D61" s="21"/>
      <c r="E61" s="21"/>
      <c r="F61" s="97"/>
      <c r="G61" s="98"/>
      <c r="H61" s="99">
        <f>SUM(H51:H57,H50)</f>
        <v>135.16156800000002</v>
      </c>
      <c r="I61" s="100"/>
      <c r="J61" s="101"/>
      <c r="K61" s="101"/>
      <c r="L61" s="99">
        <f>SUM(L51:L57,L50)</f>
        <v>135.15620799999999</v>
      </c>
      <c r="M61" s="102"/>
      <c r="N61" s="103">
        <f t="shared" ref="N61" si="16">L61-H61</f>
        <v>-5.3600000000244563E-3</v>
      </c>
      <c r="O61" s="104">
        <f t="shared" ref="O61" si="17">IF((H61)=0,"",(N61/H61))</f>
        <v>-3.9656243112128262E-5</v>
      </c>
      <c r="Q61" s="102"/>
      <c r="S61" s="102"/>
      <c r="U61" s="102"/>
      <c r="W61" s="102"/>
    </row>
    <row r="62" spans="2:23" x14ac:dyDescent="0.2">
      <c r="B62" s="105" t="s">
        <v>43</v>
      </c>
      <c r="C62" s="21"/>
      <c r="D62" s="21"/>
      <c r="E62" s="21"/>
      <c r="F62" s="106">
        <v>0.13</v>
      </c>
      <c r="G62" s="107"/>
      <c r="H62" s="108">
        <f>H61*F62</f>
        <v>17.571003840000003</v>
      </c>
      <c r="I62" s="109"/>
      <c r="J62" s="110">
        <v>0.13</v>
      </c>
      <c r="K62" s="109"/>
      <c r="L62" s="111">
        <f>L61*J62</f>
        <v>17.570307039999999</v>
      </c>
      <c r="M62" s="112"/>
      <c r="N62" s="113">
        <f t="shared" si="13"/>
        <v>-6.9680000000360565E-4</v>
      </c>
      <c r="O62" s="114">
        <f t="shared" si="10"/>
        <v>-3.9656243112152521E-5</v>
      </c>
      <c r="Q62" s="112"/>
      <c r="S62" s="112"/>
      <c r="U62" s="112"/>
      <c r="W62" s="112"/>
    </row>
    <row r="63" spans="2:23" ht="13.5" thickBot="1" x14ac:dyDescent="0.25">
      <c r="B63" s="115" t="s">
        <v>44</v>
      </c>
      <c r="C63" s="21"/>
      <c r="D63" s="21"/>
      <c r="E63" s="21"/>
      <c r="F63" s="116"/>
      <c r="G63" s="107"/>
      <c r="H63" s="99">
        <f>H61+H62</f>
        <v>152.73257184000002</v>
      </c>
      <c r="I63" s="109"/>
      <c r="J63" s="109"/>
      <c r="K63" s="109"/>
      <c r="L63" s="220">
        <f>L61+L62</f>
        <v>152.72651503999998</v>
      </c>
      <c r="M63" s="112"/>
      <c r="N63" s="103">
        <f t="shared" si="13"/>
        <v>-6.0568000000387201E-3</v>
      </c>
      <c r="O63" s="104">
        <f t="shared" si="10"/>
        <v>-3.9656243112200836E-5</v>
      </c>
      <c r="Q63" s="112"/>
      <c r="S63" s="112"/>
      <c r="U63" s="112"/>
      <c r="W63" s="112"/>
    </row>
    <row r="64" spans="2:23" s="85" customFormat="1" ht="8.25" customHeight="1" thickBot="1" x14ac:dyDescent="0.25">
      <c r="B64" s="117"/>
      <c r="C64" s="118"/>
      <c r="D64" s="119"/>
      <c r="E64" s="118"/>
      <c r="F64" s="89"/>
      <c r="G64" s="120"/>
      <c r="H64" s="91"/>
      <c r="I64" s="121"/>
      <c r="J64" s="89"/>
      <c r="K64" s="122"/>
      <c r="L64" s="91"/>
      <c r="M64" s="121"/>
      <c r="N64" s="123"/>
      <c r="O64" s="95"/>
      <c r="Q64" s="143"/>
      <c r="R64" s="212"/>
      <c r="S64" s="143"/>
      <c r="T64" s="212"/>
      <c r="U64" s="143"/>
      <c r="V64" s="212"/>
      <c r="W64" s="143"/>
    </row>
    <row r="65" spans="1:23" s="85" customFormat="1" x14ac:dyDescent="0.2">
      <c r="B65" s="124" t="s">
        <v>45</v>
      </c>
      <c r="C65" s="79"/>
      <c r="D65" s="79"/>
      <c r="E65" s="79"/>
      <c r="F65" s="125"/>
      <c r="G65" s="126"/>
      <c r="H65" s="127">
        <f>SUM(H58:H59,H50,H51:H54)</f>
        <v>132.04956800000002</v>
      </c>
      <c r="I65" s="128"/>
      <c r="J65" s="129"/>
      <c r="K65" s="129"/>
      <c r="L65" s="127">
        <f>SUM(L58:L59,L50,L51:L54)</f>
        <v>132.044208</v>
      </c>
      <c r="M65" s="130"/>
      <c r="N65" s="131">
        <f t="shared" ref="N65:N67" si="18">L65-H65</f>
        <v>-5.3600000000244563E-3</v>
      </c>
      <c r="O65" s="104">
        <f t="shared" ref="O65:O67" si="19">IF((H65)=0,"",(N65/H65))</f>
        <v>-4.0590818139022278E-5</v>
      </c>
      <c r="Q65" s="130"/>
      <c r="R65" s="212"/>
      <c r="S65" s="130"/>
      <c r="T65" s="212"/>
      <c r="U65" s="130"/>
      <c r="V65" s="212"/>
      <c r="W65" s="130"/>
    </row>
    <row r="66" spans="1:23" s="85" customFormat="1" x14ac:dyDescent="0.2">
      <c r="B66" s="132" t="s">
        <v>43</v>
      </c>
      <c r="C66" s="79"/>
      <c r="D66" s="79"/>
      <c r="E66" s="79"/>
      <c r="F66" s="133">
        <v>0.13</v>
      </c>
      <c r="G66" s="126"/>
      <c r="H66" s="134">
        <f>H65*F66</f>
        <v>17.166443840000003</v>
      </c>
      <c r="I66" s="135"/>
      <c r="J66" s="136">
        <v>0.13</v>
      </c>
      <c r="K66" s="137"/>
      <c r="L66" s="138">
        <f>L65*J66</f>
        <v>17.165747039999999</v>
      </c>
      <c r="M66" s="139"/>
      <c r="N66" s="140">
        <f t="shared" si="18"/>
        <v>-6.9680000000360565E-4</v>
      </c>
      <c r="O66" s="114">
        <f t="shared" si="19"/>
        <v>-4.0590818139047113E-5</v>
      </c>
      <c r="Q66" s="139"/>
      <c r="R66" s="212"/>
      <c r="S66" s="139"/>
      <c r="T66" s="212"/>
      <c r="U66" s="139"/>
      <c r="V66" s="212"/>
      <c r="W66" s="139"/>
    </row>
    <row r="67" spans="1:23" s="85" customFormat="1" ht="13.5" thickBot="1" x14ac:dyDescent="0.25">
      <c r="B67" s="141" t="s">
        <v>44</v>
      </c>
      <c r="C67" s="79"/>
      <c r="D67" s="79"/>
      <c r="E67" s="79"/>
      <c r="F67" s="142"/>
      <c r="G67" s="143"/>
      <c r="H67" s="127">
        <f>H65+H66</f>
        <v>149.21601184000002</v>
      </c>
      <c r="I67" s="135"/>
      <c r="J67" s="135"/>
      <c r="K67" s="135"/>
      <c r="L67" s="219">
        <f>L65+L66</f>
        <v>149.20995504000001</v>
      </c>
      <c r="M67" s="139"/>
      <c r="N67" s="131">
        <f t="shared" si="18"/>
        <v>-6.0568000000102984E-3</v>
      </c>
      <c r="O67" s="104">
        <f t="shared" si="19"/>
        <v>-4.0590818138906085E-5</v>
      </c>
      <c r="Q67" s="139"/>
      <c r="R67" s="212"/>
      <c r="S67" s="139"/>
      <c r="T67" s="212"/>
      <c r="U67" s="139"/>
      <c r="V67" s="212"/>
      <c r="W67" s="139"/>
    </row>
    <row r="68" spans="1:23" s="85" customFormat="1" ht="8.25" customHeight="1" thickBot="1" x14ac:dyDescent="0.25">
      <c r="B68" s="117"/>
      <c r="C68" s="118"/>
      <c r="D68" s="119"/>
      <c r="E68" s="118"/>
      <c r="F68" s="144"/>
      <c r="G68" s="145"/>
      <c r="H68" s="146"/>
      <c r="I68" s="147"/>
      <c r="J68" s="144"/>
      <c r="K68" s="120"/>
      <c r="L68" s="148"/>
      <c r="M68" s="121"/>
      <c r="N68" s="149"/>
      <c r="O68" s="95"/>
      <c r="Q68" s="143"/>
      <c r="R68" s="212"/>
      <c r="S68" s="143"/>
      <c r="T68" s="212"/>
      <c r="U68" s="143"/>
      <c r="V68" s="212"/>
      <c r="W68" s="143"/>
    </row>
    <row r="69" spans="1:23" x14ac:dyDescent="0.2">
      <c r="L69" s="150"/>
    </row>
    <row r="70" spans="1:23" x14ac:dyDescent="0.2">
      <c r="B70" s="12" t="s">
        <v>46</v>
      </c>
      <c r="F70" s="151">
        <f>'Res (100)'!F70</f>
        <v>3.3500000000000002E-2</v>
      </c>
      <c r="J70" s="151">
        <f>+'Res (100)'!J70</f>
        <v>3.3500000000000002E-2</v>
      </c>
    </row>
    <row r="71" spans="1:23" ht="13.5" thickBot="1" x14ac:dyDescent="0.25"/>
    <row r="72" spans="1:23" ht="8.25" customHeight="1" thickBot="1" x14ac:dyDescent="0.25">
      <c r="B72" s="86"/>
      <c r="C72" s="87"/>
      <c r="D72" s="88"/>
      <c r="E72" s="87"/>
      <c r="F72" s="89"/>
      <c r="G72" s="90"/>
      <c r="H72" s="91"/>
      <c r="I72" s="92"/>
      <c r="J72" s="89"/>
      <c r="K72" s="93"/>
      <c r="L72" s="91"/>
      <c r="M72" s="92"/>
      <c r="N72" s="94"/>
      <c r="O72" s="95"/>
      <c r="Q72" s="107"/>
      <c r="S72" s="107"/>
      <c r="U72" s="107"/>
      <c r="W72" s="107"/>
    </row>
    <row r="73" spans="1:23" x14ac:dyDescent="0.2">
      <c r="B73" s="96" t="s">
        <v>42</v>
      </c>
      <c r="C73" s="21"/>
      <c r="D73" s="21"/>
      <c r="E73" s="21"/>
      <c r="F73" s="97"/>
      <c r="G73" s="98"/>
      <c r="H73" s="99">
        <f>+H61-H31-H40-H41-H42</f>
        <v>136.72556800000001</v>
      </c>
      <c r="I73" s="100"/>
      <c r="J73" s="101"/>
      <c r="K73" s="101"/>
      <c r="L73" s="99">
        <f>+L61-L31-L40-L41-L42</f>
        <v>137.056208</v>
      </c>
      <c r="M73" s="102"/>
      <c r="N73" s="103">
        <f t="shared" ref="N73:N75" si="20">L73-H73</f>
        <v>0.33063999999998828</v>
      </c>
      <c r="O73" s="104">
        <f t="shared" ref="O73:O75" si="21">IF((H73)=0,"",(N73/H73))</f>
        <v>2.4182748321073953E-3</v>
      </c>
      <c r="Q73" s="102"/>
      <c r="S73" s="102"/>
      <c r="U73" s="102"/>
      <c r="W73" s="102"/>
    </row>
    <row r="74" spans="1:23" x14ac:dyDescent="0.2">
      <c r="B74" s="105" t="s">
        <v>43</v>
      </c>
      <c r="C74" s="21"/>
      <c r="D74" s="21"/>
      <c r="E74" s="21"/>
      <c r="F74" s="106">
        <v>0.13</v>
      </c>
      <c r="G74" s="107"/>
      <c r="H74" s="108">
        <f>H73*F74</f>
        <v>17.774323840000001</v>
      </c>
      <c r="I74" s="109"/>
      <c r="J74" s="110">
        <v>0.13</v>
      </c>
      <c r="K74" s="109"/>
      <c r="L74" s="111">
        <f>L73*J74</f>
        <v>17.817307039999999</v>
      </c>
      <c r="M74" s="112"/>
      <c r="N74" s="113">
        <f t="shared" si="20"/>
        <v>4.2983199999998334E-2</v>
      </c>
      <c r="O74" s="114">
        <f t="shared" si="21"/>
        <v>2.4182748321073871E-3</v>
      </c>
      <c r="Q74" s="112"/>
      <c r="S74" s="112"/>
      <c r="U74" s="112"/>
      <c r="W74" s="112"/>
    </row>
    <row r="75" spans="1:23" x14ac:dyDescent="0.2">
      <c r="B75" s="115" t="s">
        <v>44</v>
      </c>
      <c r="C75" s="21"/>
      <c r="D75" s="21"/>
      <c r="E75" s="21"/>
      <c r="F75" s="213"/>
      <c r="G75" s="214"/>
      <c r="H75" s="225">
        <f>H73+H74</f>
        <v>154.49989184</v>
      </c>
      <c r="I75" s="215"/>
      <c r="J75" s="215"/>
      <c r="K75" s="215"/>
      <c r="L75" s="224">
        <f>L73+L74</f>
        <v>154.87351504</v>
      </c>
      <c r="M75" s="216"/>
      <c r="N75" s="223">
        <f t="shared" si="20"/>
        <v>0.37362319999999727</v>
      </c>
      <c r="O75" s="222">
        <f t="shared" si="21"/>
        <v>2.4182748321074634E-3</v>
      </c>
      <c r="Q75" s="112"/>
      <c r="S75" s="112"/>
      <c r="U75" s="112"/>
      <c r="W75" s="112"/>
    </row>
    <row r="76" spans="1:23" ht="13.5" customHeight="1" x14ac:dyDescent="0.2">
      <c r="Q76" s="210"/>
      <c r="R76" s="210"/>
      <c r="S76" s="6"/>
      <c r="T76" s="6"/>
      <c r="U76" s="6"/>
      <c r="V76" s="6"/>
      <c r="W76" s="6"/>
    </row>
    <row r="77" spans="1:23" ht="12" customHeight="1" x14ac:dyDescent="0.2">
      <c r="A77" s="6" t="s">
        <v>47</v>
      </c>
      <c r="Q77" s="210"/>
      <c r="R77" s="210"/>
      <c r="S77" s="6"/>
      <c r="T77" s="6"/>
      <c r="U77" s="6"/>
      <c r="V77" s="6"/>
      <c r="W77" s="6"/>
    </row>
    <row r="78" spans="1:23" x14ac:dyDescent="0.2">
      <c r="A78" s="6" t="s">
        <v>48</v>
      </c>
      <c r="Q78" s="210"/>
      <c r="R78" s="210"/>
      <c r="S78" s="6"/>
      <c r="T78" s="6"/>
      <c r="U78" s="6"/>
      <c r="V78" s="6"/>
      <c r="W78" s="6"/>
    </row>
    <row r="79" spans="1:23" x14ac:dyDescent="0.2">
      <c r="Q79" s="210"/>
      <c r="R79" s="210"/>
      <c r="S79" s="6"/>
      <c r="T79" s="6"/>
      <c r="U79" s="6"/>
      <c r="V79" s="6"/>
      <c r="W79" s="6"/>
    </row>
    <row r="80" spans="1:23" x14ac:dyDescent="0.2">
      <c r="A80" s="153" t="s">
        <v>136</v>
      </c>
      <c r="Q80" s="210"/>
      <c r="R80" s="210"/>
      <c r="S80" s="6"/>
      <c r="T80" s="6"/>
      <c r="U80" s="6"/>
      <c r="V80" s="6"/>
      <c r="W80" s="6"/>
    </row>
    <row r="81" spans="1:23" x14ac:dyDescent="0.2">
      <c r="A81" s="11" t="s">
        <v>49</v>
      </c>
      <c r="Q81" s="210"/>
      <c r="R81" s="210"/>
      <c r="S81" s="6"/>
      <c r="T81" s="6"/>
      <c r="U81" s="6"/>
      <c r="V81" s="6"/>
      <c r="W81" s="6"/>
    </row>
    <row r="82" spans="1:23" x14ac:dyDescent="0.2">
      <c r="Q82" s="210"/>
      <c r="R82" s="210"/>
      <c r="S82" s="6"/>
      <c r="T82" s="6"/>
      <c r="U82" s="6"/>
      <c r="V82" s="6"/>
      <c r="W82" s="6"/>
    </row>
    <row r="83" spans="1:23" x14ac:dyDescent="0.2">
      <c r="A83" s="6" t="s">
        <v>135</v>
      </c>
      <c r="Q83" s="210"/>
      <c r="R83" s="210"/>
      <c r="S83" s="6"/>
      <c r="T83" s="6"/>
      <c r="U83" s="6"/>
      <c r="V83" s="6"/>
      <c r="W83" s="6"/>
    </row>
    <row r="84" spans="1:23" x14ac:dyDescent="0.2">
      <c r="A84" s="6" t="s">
        <v>50</v>
      </c>
      <c r="Q84" s="210"/>
      <c r="R84" s="210"/>
      <c r="S84" s="6"/>
      <c r="T84" s="6"/>
      <c r="U84" s="6"/>
      <c r="V84" s="6"/>
      <c r="W84" s="6"/>
    </row>
    <row r="85" spans="1:23" x14ac:dyDescent="0.2">
      <c r="A85" s="6" t="s">
        <v>51</v>
      </c>
      <c r="Q85" s="210"/>
      <c r="R85" s="210"/>
      <c r="S85" s="6"/>
      <c r="T85" s="6"/>
      <c r="U85" s="6"/>
      <c r="V85" s="6"/>
      <c r="W85" s="6"/>
    </row>
    <row r="86" spans="1:23" x14ac:dyDescent="0.2">
      <c r="A86" s="6" t="s">
        <v>52</v>
      </c>
      <c r="Q86" s="210"/>
      <c r="R86" s="210"/>
      <c r="S86" s="6"/>
      <c r="T86" s="6"/>
      <c r="U86" s="6"/>
      <c r="V86" s="6"/>
      <c r="W86" s="6"/>
    </row>
    <row r="87" spans="1:23" x14ac:dyDescent="0.2">
      <c r="A87" s="6" t="s">
        <v>53</v>
      </c>
      <c r="Q87" s="210"/>
      <c r="R87" s="210"/>
      <c r="S87" s="6"/>
      <c r="T87" s="6"/>
      <c r="U87" s="6"/>
      <c r="V87" s="6"/>
      <c r="W87" s="6"/>
    </row>
    <row r="88" spans="1:23" x14ac:dyDescent="0.2">
      <c r="Q88" s="210"/>
      <c r="R88" s="210"/>
      <c r="S88" s="6"/>
      <c r="T88" s="6"/>
      <c r="U88" s="6"/>
      <c r="V88" s="6"/>
      <c r="W88" s="6"/>
    </row>
    <row r="89" spans="1:23" x14ac:dyDescent="0.2">
      <c r="A89" s="152"/>
      <c r="B89" s="6" t="s">
        <v>54</v>
      </c>
      <c r="Q89" s="210"/>
      <c r="R89" s="210"/>
      <c r="S89" s="6"/>
      <c r="T89" s="6"/>
      <c r="U89" s="6"/>
      <c r="V89" s="6"/>
      <c r="W89" s="6"/>
    </row>
    <row r="90" spans="1:23" x14ac:dyDescent="0.2">
      <c r="Q90" s="210"/>
      <c r="R90" s="210"/>
      <c r="S90" s="6"/>
      <c r="T90" s="6"/>
      <c r="U90" s="6"/>
      <c r="V90" s="6"/>
      <c r="W90" s="6"/>
    </row>
    <row r="91" spans="1:23" x14ac:dyDescent="0.2">
      <c r="B91" s="153" t="s">
        <v>55</v>
      </c>
      <c r="Q91" s="210"/>
      <c r="R91" s="210"/>
      <c r="S91" s="6"/>
      <c r="T91" s="6"/>
      <c r="U91" s="6"/>
      <c r="V91" s="6"/>
      <c r="W91"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68 D64 D23:D38 D72 D48:D49 D40:D46 D51:D60">
      <formula1>"Monthly, per kWh, per kW"</formula1>
    </dataValidation>
    <dataValidation type="list" allowBlank="1" showInputMessage="1" showErrorMessage="1" sqref="E48:E49 E68 E64 E23:E38 E40:E46 E72 E51:E60">
      <formula1>#REF!</formula1>
    </dataValidation>
  </dataValidations>
  <pageMargins left="0.74803149606299213" right="0.74803149606299213" top="0.98425196850393704" bottom="0.98425196850393704" header="0.51181102362204722" footer="0.51181102362204722"/>
  <pageSetup scale="59" fitToWidth="2" orientation="portrait" r:id="rId1"/>
  <headerFooter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6</xdr:col>
                    <xdr:colOff>476250</xdr:colOff>
                    <xdr:row>16</xdr:row>
                    <xdr:rowOff>171450</xdr:rowOff>
                  </from>
                  <to>
                    <xdr:col>9</xdr:col>
                    <xdr:colOff>476250</xdr:colOff>
                    <xdr:row>18</xdr:row>
                    <xdr:rowOff>28575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9</xdr:col>
                    <xdr:colOff>361950</xdr:colOff>
                    <xdr:row>16</xdr:row>
                    <xdr:rowOff>114300</xdr:rowOff>
                  </from>
                  <to>
                    <xdr:col>15</xdr:col>
                    <xdr:colOff>247650</xdr:colOff>
                    <xdr:row>18</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2b8bb3d4-4679-4201-bf4e-ecf5a190cbdc">HOLFIN-2099070798-48</_dlc_DocId>
    <_dlc_DocIdUrl xmlns="2b8bb3d4-4679-4201-bf4e-ecf5a190cbdc">
      <Url>http://spapp01/sites/FIN/REG/AnnualUpdates/_layouts/DocIdRedir.aspx?ID=HOLFIN-2099070798-48</Url>
      <Description>HOLFIN-2099070798-48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9d54efc9-ddd0-46ce-8ac6-e4a1c98f1b3f"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BC2D1DF4E7111B468ED341AC990FF4B8" ma:contentTypeVersion="0" ma:contentTypeDescription="Create a new document." ma:contentTypeScope="" ma:versionID="ff6461e17e5ab73c7cc13c0fecbbaf2e">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88244B-2585-4E13-9D47-BCD2CE651FAF}"/>
</file>

<file path=customXml/itemProps2.xml><?xml version="1.0" encoding="utf-8"?>
<ds:datastoreItem xmlns:ds="http://schemas.openxmlformats.org/officeDocument/2006/customXml" ds:itemID="{86E7423D-1CB9-4B5B-803B-8EA12FC0FBA5}"/>
</file>

<file path=customXml/itemProps3.xml><?xml version="1.0" encoding="utf-8"?>
<ds:datastoreItem xmlns:ds="http://schemas.openxmlformats.org/officeDocument/2006/customXml" ds:itemID="{342AE6A0-662F-4B05-AC53-18BFECCB4AD7}"/>
</file>

<file path=customXml/itemProps4.xml><?xml version="1.0" encoding="utf-8"?>
<ds:datastoreItem xmlns:ds="http://schemas.openxmlformats.org/officeDocument/2006/customXml" ds:itemID="{AA505EB2-C254-4595-B89B-FE2DDF10F6EF}"/>
</file>

<file path=customXml/itemProps5.xml><?xml version="1.0" encoding="utf-8"?>
<ds:datastoreItem xmlns:ds="http://schemas.openxmlformats.org/officeDocument/2006/customXml" ds:itemID="{D38BA1B3-A499-4605-9767-1AFA58E64E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Summary</vt:lpstr>
      <vt:lpstr>Proposed Rates</vt:lpstr>
      <vt:lpstr>Res (100)</vt:lpstr>
      <vt:lpstr>Res (232)</vt:lpstr>
      <vt:lpstr>Res (250)</vt:lpstr>
      <vt:lpstr>Res (500)</vt:lpstr>
      <vt:lpstr>Res (640)</vt:lpstr>
      <vt:lpstr>Res (750)</vt:lpstr>
      <vt:lpstr>Res (800)</vt:lpstr>
      <vt:lpstr>Res (1000)</vt:lpstr>
      <vt:lpstr>Res (1500)</vt:lpstr>
      <vt:lpstr>Res (2000)</vt:lpstr>
      <vt:lpstr>SC (1000)</vt:lpstr>
      <vt:lpstr>SC (2000)</vt:lpstr>
      <vt:lpstr>SC (5000)</vt:lpstr>
      <vt:lpstr>SC (10000)</vt:lpstr>
      <vt:lpstr>SC (15000)</vt:lpstr>
      <vt:lpstr>&gt;50 (100)</vt:lpstr>
      <vt:lpstr>&gt;50 (250)</vt:lpstr>
      <vt:lpstr>&gt;50 (500)</vt:lpstr>
      <vt:lpstr>&gt;50 (1000)</vt:lpstr>
      <vt:lpstr>&gt;1500(2500)</vt:lpstr>
      <vt:lpstr>&gt;1500(4000)</vt:lpstr>
      <vt:lpstr>LU(7500)</vt:lpstr>
      <vt:lpstr>LU(10000)</vt:lpstr>
      <vt:lpstr>USL (470)</vt:lpstr>
      <vt:lpstr>SN (.4)</vt:lpstr>
      <vt:lpstr>StLght (1.5)</vt:lpstr>
      <vt:lpstr>'&gt;1500(2500)'!Print_Area</vt:lpstr>
      <vt:lpstr>'&gt;1500(4000)'!Print_Area</vt:lpstr>
      <vt:lpstr>'&gt;50 (100)'!Print_Area</vt:lpstr>
      <vt:lpstr>'&gt;50 (1000)'!Print_Area</vt:lpstr>
      <vt:lpstr>'&gt;50 (250)'!Print_Area</vt:lpstr>
      <vt:lpstr>'&gt;50 (500)'!Print_Area</vt:lpstr>
      <vt:lpstr>'LU(10000)'!Print_Area</vt:lpstr>
      <vt:lpstr>'LU(7500)'!Print_Area</vt:lpstr>
      <vt:lpstr>'Proposed Rates'!Print_Area</vt:lpstr>
      <vt:lpstr>'Res (100)'!Print_Area</vt:lpstr>
      <vt:lpstr>'Res (1000)'!Print_Area</vt:lpstr>
      <vt:lpstr>'Res (1500)'!Print_Area</vt:lpstr>
      <vt:lpstr>'Res (2000)'!Print_Area</vt:lpstr>
      <vt:lpstr>'Res (232)'!Print_Area</vt:lpstr>
      <vt:lpstr>'Res (250)'!Print_Area</vt:lpstr>
      <vt:lpstr>'Res (500)'!Print_Area</vt:lpstr>
      <vt:lpstr>'Res (640)'!Print_Area</vt:lpstr>
      <vt:lpstr>'Res (750)'!Print_Area</vt:lpstr>
      <vt:lpstr>'Res (800)'!Print_Area</vt:lpstr>
      <vt:lpstr>'SC (1000)'!Print_Area</vt:lpstr>
      <vt:lpstr>'SC (10000)'!Print_Area</vt:lpstr>
      <vt:lpstr>'SC (15000)'!Print_Area</vt:lpstr>
      <vt:lpstr>'SC (2000)'!Print_Area</vt:lpstr>
      <vt:lpstr>'SC (5000)'!Print_Area</vt:lpstr>
      <vt:lpstr>'SN (.4)'!Print_Area</vt:lpstr>
      <vt:lpstr>'StLght (1.5)'!Print_Area</vt:lpstr>
      <vt:lpstr>Summary!Print_Area</vt:lpstr>
      <vt:lpstr>'USL (470)'!Print_Area</vt:lpstr>
      <vt:lpstr>'&gt;1500(2500)'!Print_Titles</vt:lpstr>
      <vt:lpstr>'&gt;1500(4000)'!Print_Titles</vt:lpstr>
      <vt:lpstr>'&gt;50 (100)'!Print_Titles</vt:lpstr>
      <vt:lpstr>'&gt;50 (1000)'!Print_Titles</vt:lpstr>
      <vt:lpstr>'&gt;50 (250)'!Print_Titles</vt:lpstr>
      <vt:lpstr>'&gt;50 (500)'!Print_Titles</vt:lpstr>
      <vt:lpstr>'LU(10000)'!Print_Titles</vt:lpstr>
      <vt:lpstr>'LU(7500)'!Print_Titles</vt:lpstr>
      <vt:lpstr>'Res (100)'!Print_Titles</vt:lpstr>
      <vt:lpstr>'Res (1000)'!Print_Titles</vt:lpstr>
      <vt:lpstr>'Res (1500)'!Print_Titles</vt:lpstr>
      <vt:lpstr>'Res (2000)'!Print_Titles</vt:lpstr>
      <vt:lpstr>'Res (232)'!Print_Titles</vt:lpstr>
      <vt:lpstr>'Res (250)'!Print_Titles</vt:lpstr>
      <vt:lpstr>'Res (500)'!Print_Titles</vt:lpstr>
      <vt:lpstr>'Res (640)'!Print_Titles</vt:lpstr>
      <vt:lpstr>'Res (750)'!Print_Titles</vt:lpstr>
      <vt:lpstr>'Res (800)'!Print_Titles</vt:lpstr>
      <vt:lpstr>'SC (1000)'!Print_Titles</vt:lpstr>
      <vt:lpstr>'SC (10000)'!Print_Titles</vt:lpstr>
      <vt:lpstr>'SC (15000)'!Print_Titles</vt:lpstr>
      <vt:lpstr>'SC (2000)'!Print_Titles</vt:lpstr>
      <vt:lpstr>'SC (5000)'!Print_Titles</vt:lpstr>
      <vt:lpstr>'SN (.4)'!Print_Titles</vt:lpstr>
      <vt:lpstr>'StLght (1.5)'!Print_Titles</vt:lpstr>
      <vt:lpstr>'USL (470)'!Print_Titles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8-12-A - Bill Impacts</dc:title>
  <dc:creator>aprilb</dc:creator>
  <cp:lastModifiedBy>meghanf</cp:lastModifiedBy>
  <cp:lastPrinted>2016-08-15T20:04:06Z</cp:lastPrinted>
  <dcterms:created xsi:type="dcterms:W3CDTF">2015-04-28T13:50:50Z</dcterms:created>
  <dcterms:modified xsi:type="dcterms:W3CDTF">2016-08-15T20:05:02Z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0x010100BC2D1DF4E7111B468ED341AC990FF4B8</vt:lpwstr>
  </property>
  <property fmtid="{D5CDD505-2E9C-101B-9397-08002B2CF9AE}" pid="3" name="_dlc_DocIdItemGuid">
    <vt:lpwstr>0d2b3905-dc29-4bac-81ca-ccba64cbf346</vt:lpwstr>
  </property>
  <property fmtid="{D5CDD505-2E9C-101B-9397-08002B2CF9AE}" pid="4" name="TaxKeyword">
    <vt:lpwstr/>
  </property>
</Properties>
</file>